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פרויקט כוכב הצפון - עכו\בלנדר\משתכן -מחיר מופחת\"/>
    </mc:Choice>
  </mc:AlternateContent>
  <xr:revisionPtr revIDLastSave="0" documentId="13_ncr:1_{C2A62A77-F698-45FD-9DD7-AA9CA7A98B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מחירון רק משתכן ליום בחירה" sheetId="3" r:id="rId1"/>
    <sheet name="ג4 עכו" sheetId="1" r:id="rId2"/>
    <sheet name="ריכוז" sheetId="2" r:id="rId3"/>
  </sheets>
  <externalReferences>
    <externalReference r:id="rId4"/>
    <externalReference r:id="rId5"/>
  </externalReferences>
  <definedNames>
    <definedName name="_xlnm._FilterDatabase" localSheetId="1" hidden="1">'ג4 עכו'!$A$10:$O$259</definedName>
    <definedName name="_xlnm._FilterDatabase" localSheetId="0" hidden="1">'מחירון רק משתכן ליום בחירה'!$A$10:$O$140</definedName>
    <definedName name="_xlnm.Print_Area" localSheetId="1">'ג4 עכו'!$A$1:$P$266</definedName>
    <definedName name="_xlnm.Print_Area" localSheetId="0">'מחירון רק משתכן ליום בחירה'!$A$1:$P$147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0" i="3" l="1"/>
  <c r="G140" i="3"/>
  <c r="L139" i="3"/>
  <c r="H139" i="3"/>
  <c r="F139" i="3"/>
  <c r="L138" i="3"/>
  <c r="F138" i="3"/>
  <c r="L137" i="3"/>
  <c r="H137" i="3"/>
  <c r="F137" i="3"/>
  <c r="L136" i="3"/>
  <c r="H136" i="3"/>
  <c r="F136" i="3"/>
  <c r="L135" i="3"/>
  <c r="F135" i="3"/>
  <c r="L134" i="3"/>
  <c r="H134" i="3"/>
  <c r="F134" i="3"/>
  <c r="L133" i="3"/>
  <c r="H133" i="3"/>
  <c r="F133" i="3"/>
  <c r="L132" i="3"/>
  <c r="H132" i="3"/>
  <c r="F132" i="3"/>
  <c r="L131" i="3"/>
  <c r="F131" i="3"/>
  <c r="L130" i="3"/>
  <c r="H130" i="3"/>
  <c r="F130" i="3"/>
  <c r="L129" i="3"/>
  <c r="H129" i="3"/>
  <c r="F129" i="3"/>
  <c r="L128" i="3"/>
  <c r="H128" i="3"/>
  <c r="F128" i="3"/>
  <c r="L127" i="3"/>
  <c r="F127" i="3"/>
  <c r="L126" i="3"/>
  <c r="H126" i="3"/>
  <c r="F126" i="3"/>
  <c r="L125" i="3"/>
  <c r="H125" i="3"/>
  <c r="F125" i="3"/>
  <c r="L124" i="3"/>
  <c r="H124" i="3"/>
  <c r="F124" i="3"/>
  <c r="N123" i="3"/>
  <c r="G123" i="3"/>
  <c r="L122" i="3"/>
  <c r="H122" i="3"/>
  <c r="F122" i="3"/>
  <c r="L121" i="3"/>
  <c r="F121" i="3"/>
  <c r="L120" i="3"/>
  <c r="H120" i="3"/>
  <c r="F120" i="3"/>
  <c r="L119" i="3"/>
  <c r="H119" i="3"/>
  <c r="F119" i="3"/>
  <c r="L118" i="3"/>
  <c r="H118" i="3"/>
  <c r="F118" i="3"/>
  <c r="L117" i="3"/>
  <c r="F117" i="3"/>
  <c r="L116" i="3"/>
  <c r="H116" i="3"/>
  <c r="F116" i="3"/>
  <c r="L115" i="3"/>
  <c r="H115" i="3"/>
  <c r="F115" i="3"/>
  <c r="L114" i="3"/>
  <c r="H114" i="3"/>
  <c r="F114" i="3"/>
  <c r="L113" i="3"/>
  <c r="F113" i="3"/>
  <c r="L112" i="3"/>
  <c r="H112" i="3"/>
  <c r="F112" i="3"/>
  <c r="L111" i="3"/>
  <c r="H111" i="3"/>
  <c r="F111" i="3"/>
  <c r="L110" i="3"/>
  <c r="H110" i="3"/>
  <c r="F110" i="3"/>
  <c r="N109" i="3"/>
  <c r="G109" i="3"/>
  <c r="L108" i="3"/>
  <c r="H108" i="3"/>
  <c r="F108" i="3"/>
  <c r="L107" i="3"/>
  <c r="H107" i="3"/>
  <c r="F107" i="3"/>
  <c r="L106" i="3"/>
  <c r="F106" i="3"/>
  <c r="L105" i="3"/>
  <c r="H105" i="3"/>
  <c r="F105" i="3"/>
  <c r="L104" i="3"/>
  <c r="H104" i="3"/>
  <c r="F104" i="3"/>
  <c r="L103" i="3"/>
  <c r="F103" i="3"/>
  <c r="L102" i="3"/>
  <c r="H102" i="3"/>
  <c r="F102" i="3"/>
  <c r="L101" i="3"/>
  <c r="H101" i="3"/>
  <c r="F101" i="3"/>
  <c r="L100" i="3"/>
  <c r="H100" i="3"/>
  <c r="F100" i="3"/>
  <c r="L99" i="3"/>
  <c r="F99" i="3"/>
  <c r="L98" i="3"/>
  <c r="H98" i="3"/>
  <c r="F98" i="3"/>
  <c r="L97" i="3"/>
  <c r="H97" i="3"/>
  <c r="F97" i="3"/>
  <c r="N96" i="3"/>
  <c r="G96" i="3"/>
  <c r="L95" i="3"/>
  <c r="F95" i="3"/>
  <c r="L94" i="3"/>
  <c r="F94" i="3"/>
  <c r="L93" i="3"/>
  <c r="H93" i="3"/>
  <c r="F93" i="3"/>
  <c r="L92" i="3"/>
  <c r="H92" i="3"/>
  <c r="F92" i="3"/>
  <c r="L91" i="3"/>
  <c r="H91" i="3"/>
  <c r="F91" i="3"/>
  <c r="L90" i="3"/>
  <c r="H90" i="3"/>
  <c r="F90" i="3"/>
  <c r="L89" i="3"/>
  <c r="H89" i="3"/>
  <c r="F89" i="3"/>
  <c r="L88" i="3"/>
  <c r="F88" i="3"/>
  <c r="L87" i="3"/>
  <c r="H87" i="3"/>
  <c r="F87" i="3"/>
  <c r="L86" i="3"/>
  <c r="H86" i="3"/>
  <c r="F86" i="3"/>
  <c r="L85" i="3"/>
  <c r="F85" i="3"/>
  <c r="L84" i="3"/>
  <c r="H84" i="3"/>
  <c r="F84" i="3"/>
  <c r="L83" i="3"/>
  <c r="H83" i="3"/>
  <c r="F83" i="3"/>
  <c r="L82" i="3"/>
  <c r="H82" i="3"/>
  <c r="F82" i="3"/>
  <c r="L81" i="3"/>
  <c r="F81" i="3"/>
  <c r="L80" i="3"/>
  <c r="H80" i="3"/>
  <c r="F80" i="3"/>
  <c r="L79" i="3"/>
  <c r="H79" i="3"/>
  <c r="F79" i="3"/>
  <c r="L78" i="3"/>
  <c r="H78" i="3"/>
  <c r="F78" i="3"/>
  <c r="N77" i="3"/>
  <c r="G77" i="3"/>
  <c r="L76" i="3"/>
  <c r="F76" i="3"/>
  <c r="L75" i="3"/>
  <c r="H75" i="3"/>
  <c r="F75" i="3"/>
  <c r="L74" i="3"/>
  <c r="H74" i="3"/>
  <c r="F74" i="3"/>
  <c r="L73" i="3"/>
  <c r="H73" i="3"/>
  <c r="F73" i="3"/>
  <c r="L72" i="3"/>
  <c r="H72" i="3"/>
  <c r="F72" i="3"/>
  <c r="L71" i="3"/>
  <c r="F71" i="3"/>
  <c r="L70" i="3"/>
  <c r="H70" i="3"/>
  <c r="F70" i="3"/>
  <c r="L69" i="3"/>
  <c r="H69" i="3"/>
  <c r="F69" i="3"/>
  <c r="L68" i="3"/>
  <c r="H68" i="3"/>
  <c r="F68" i="3"/>
  <c r="L67" i="3"/>
  <c r="F67" i="3"/>
  <c r="L66" i="3"/>
  <c r="H66" i="3"/>
  <c r="F66" i="3"/>
  <c r="L65" i="3"/>
  <c r="H65" i="3"/>
  <c r="F65" i="3"/>
  <c r="L64" i="3"/>
  <c r="H64" i="3"/>
  <c r="F64" i="3"/>
  <c r="L63" i="3"/>
  <c r="F63" i="3"/>
  <c r="L62" i="3"/>
  <c r="H62" i="3"/>
  <c r="F62" i="3"/>
  <c r="L61" i="3"/>
  <c r="H61" i="3"/>
  <c r="F61" i="3"/>
  <c r="L60" i="3"/>
  <c r="H60" i="3"/>
  <c r="F60" i="3"/>
  <c r="N59" i="3"/>
  <c r="G59" i="3"/>
  <c r="L58" i="3"/>
  <c r="F58" i="3"/>
  <c r="L57" i="3"/>
  <c r="H57" i="3"/>
  <c r="F57" i="3"/>
  <c r="L56" i="3"/>
  <c r="H56" i="3"/>
  <c r="F56" i="3"/>
  <c r="L55" i="3"/>
  <c r="H55" i="3"/>
  <c r="F55" i="3"/>
  <c r="L54" i="3"/>
  <c r="H54" i="3"/>
  <c r="F54" i="3"/>
  <c r="L53" i="3"/>
  <c r="H53" i="3"/>
  <c r="F53" i="3"/>
  <c r="L52" i="3"/>
  <c r="F52" i="3"/>
  <c r="L51" i="3"/>
  <c r="H51" i="3"/>
  <c r="F51" i="3"/>
  <c r="L50" i="3"/>
  <c r="H50" i="3"/>
  <c r="F50" i="3"/>
  <c r="L49" i="3"/>
  <c r="H49" i="3"/>
  <c r="F49" i="3"/>
  <c r="L48" i="3"/>
  <c r="F48" i="3"/>
  <c r="L47" i="3"/>
  <c r="H47" i="3"/>
  <c r="F47" i="3"/>
  <c r="L46" i="3"/>
  <c r="H46" i="3"/>
  <c r="F46" i="3"/>
  <c r="L45" i="3"/>
  <c r="H45" i="3"/>
  <c r="F45" i="3"/>
  <c r="L44" i="3"/>
  <c r="F44" i="3"/>
  <c r="L43" i="3"/>
  <c r="H43" i="3"/>
  <c r="F43" i="3"/>
  <c r="L42" i="3"/>
  <c r="H42" i="3"/>
  <c r="F42" i="3"/>
  <c r="N41" i="3"/>
  <c r="G41" i="3"/>
  <c r="L40" i="3"/>
  <c r="H40" i="3"/>
  <c r="F40" i="3"/>
  <c r="L39" i="3"/>
  <c r="F39" i="3"/>
  <c r="L38" i="3"/>
  <c r="H38" i="3"/>
  <c r="F38" i="3"/>
  <c r="L37" i="3"/>
  <c r="F37" i="3"/>
  <c r="L36" i="3"/>
  <c r="H36" i="3"/>
  <c r="F36" i="3"/>
  <c r="L35" i="3"/>
  <c r="H35" i="3"/>
  <c r="F35" i="3"/>
  <c r="L34" i="3"/>
  <c r="F34" i="3"/>
  <c r="N33" i="3"/>
  <c r="G33" i="3"/>
  <c r="L32" i="3"/>
  <c r="H32" i="3"/>
  <c r="F32" i="3"/>
  <c r="L31" i="3"/>
  <c r="F31" i="3"/>
  <c r="L30" i="3"/>
  <c r="H30" i="3"/>
  <c r="F30" i="3"/>
  <c r="L29" i="3"/>
  <c r="F29" i="3"/>
  <c r="L28" i="3"/>
  <c r="H28" i="3"/>
  <c r="F28" i="3"/>
  <c r="L27" i="3"/>
  <c r="F27" i="3"/>
  <c r="L26" i="3"/>
  <c r="H26" i="3"/>
  <c r="F26" i="3"/>
  <c r="L25" i="3"/>
  <c r="H25" i="3"/>
  <c r="F25" i="3"/>
  <c r="L24" i="3"/>
  <c r="F24" i="3"/>
  <c r="N23" i="3"/>
  <c r="G23" i="3"/>
  <c r="L22" i="3"/>
  <c r="H22" i="3"/>
  <c r="L21" i="3"/>
  <c r="L20" i="3"/>
  <c r="H20" i="3"/>
  <c r="L19" i="3"/>
  <c r="L18" i="3"/>
  <c r="H18" i="3"/>
  <c r="L17" i="3"/>
  <c r="H17" i="3"/>
  <c r="L16" i="3"/>
  <c r="H16" i="3"/>
  <c r="L15" i="3"/>
  <c r="L14" i="3"/>
  <c r="H14" i="3"/>
  <c r="L13" i="3"/>
  <c r="H13" i="3"/>
  <c r="L12" i="3"/>
  <c r="L11" i="3"/>
  <c r="E8" i="3"/>
  <c r="T7" i="3"/>
  <c r="S7" i="3"/>
  <c r="U6" i="3"/>
  <c r="V6" i="3" s="1"/>
  <c r="U5" i="3"/>
  <c r="U4" i="3"/>
  <c r="V4" i="3" s="1"/>
  <c r="U3" i="3"/>
  <c r="V3" i="3" s="1"/>
  <c r="W5" i="3" l="1"/>
  <c r="N146" i="3"/>
  <c r="U7" i="3"/>
  <c r="V7" i="3" s="1"/>
  <c r="W3" i="3"/>
  <c r="G145" i="3"/>
  <c r="N145" i="3"/>
  <c r="V5" i="3"/>
  <c r="G146" i="3"/>
  <c r="E8" i="1"/>
  <c r="G259" i="1"/>
  <c r="G227" i="1"/>
  <c r="G195" i="1"/>
  <c r="G163" i="1"/>
  <c r="G131" i="1"/>
  <c r="G99" i="1"/>
  <c r="G67" i="1"/>
  <c r="G48" i="1"/>
  <c r="L37" i="1" l="1"/>
  <c r="L160" i="1"/>
  <c r="L159" i="1"/>
  <c r="L64" i="1"/>
  <c r="L63" i="1"/>
  <c r="L45" i="1"/>
  <c r="L44" i="1"/>
  <c r="L26" i="1"/>
  <c r="L25" i="1"/>
  <c r="L251" i="1"/>
  <c r="L247" i="1"/>
  <c r="L243" i="1"/>
  <c r="L239" i="1"/>
  <c r="L235" i="1"/>
  <c r="L231" i="1"/>
  <c r="L211" i="1"/>
  <c r="L207" i="1"/>
  <c r="L203" i="1"/>
  <c r="L199" i="1"/>
  <c r="L187" i="1"/>
  <c r="L179" i="1"/>
  <c r="L171" i="1"/>
  <c r="L167" i="1"/>
  <c r="L155" i="1"/>
  <c r="L151" i="1"/>
  <c r="L147" i="1"/>
  <c r="L139" i="1"/>
  <c r="L135" i="1"/>
  <c r="L119" i="1"/>
  <c r="L115" i="1"/>
  <c r="L111" i="1"/>
  <c r="L107" i="1"/>
  <c r="L103" i="1"/>
  <c r="L97" i="1"/>
  <c r="L91" i="1"/>
  <c r="L87" i="1"/>
  <c r="L83" i="1"/>
  <c r="L79" i="1"/>
  <c r="L75" i="1"/>
  <c r="L71" i="1"/>
  <c r="L54" i="1"/>
  <c r="L51" i="1"/>
  <c r="L38" i="1"/>
  <c r="L35" i="1"/>
  <c r="L32" i="1"/>
  <c r="L22" i="1"/>
  <c r="L16" i="1"/>
  <c r="L13" i="1"/>
  <c r="H14" i="1"/>
  <c r="H15" i="1"/>
  <c r="H17" i="1"/>
  <c r="H18" i="1"/>
  <c r="H19" i="1"/>
  <c r="H20" i="1"/>
  <c r="H21" i="1"/>
  <c r="H23" i="1"/>
  <c r="H24" i="1"/>
  <c r="H26" i="1"/>
  <c r="H27" i="1"/>
  <c r="H28" i="1"/>
  <c r="H33" i="1"/>
  <c r="H34" i="1"/>
  <c r="H36" i="1"/>
  <c r="H37" i="1"/>
  <c r="H39" i="1"/>
  <c r="H40" i="1"/>
  <c r="H41" i="1"/>
  <c r="H42" i="1"/>
  <c r="H43" i="1"/>
  <c r="H45" i="1"/>
  <c r="H46" i="1"/>
  <c r="H47" i="1"/>
  <c r="H52" i="1"/>
  <c r="H53" i="1"/>
  <c r="H55" i="1"/>
  <c r="H56" i="1"/>
  <c r="H57" i="1"/>
  <c r="H58" i="1"/>
  <c r="H59" i="1"/>
  <c r="H60" i="1"/>
  <c r="H61" i="1"/>
  <c r="H62" i="1"/>
  <c r="H64" i="1"/>
  <c r="H65" i="1"/>
  <c r="H66" i="1"/>
  <c r="H71" i="1"/>
  <c r="H72" i="1"/>
  <c r="H73" i="1"/>
  <c r="H75" i="1"/>
  <c r="H76" i="1"/>
  <c r="H77" i="1"/>
  <c r="H79" i="1"/>
  <c r="H80" i="1"/>
  <c r="H81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8" i="1"/>
  <c r="F250" i="1" l="1"/>
  <c r="L250" i="1"/>
  <c r="F241" i="1"/>
  <c r="L241" i="1"/>
  <c r="H241" i="1"/>
  <c r="F242" i="1"/>
  <c r="L242" i="1"/>
  <c r="F239" i="1"/>
  <c r="H239" i="1"/>
  <c r="F231" i="1"/>
  <c r="H231" i="1"/>
  <c r="F232" i="1"/>
  <c r="L232" i="1"/>
  <c r="H232" i="1"/>
  <c r="F211" i="1"/>
  <c r="H211" i="1"/>
  <c r="F204" i="1"/>
  <c r="L204" i="1"/>
  <c r="H204" i="1"/>
  <c r="F205" i="1"/>
  <c r="L205" i="1"/>
  <c r="H205" i="1"/>
  <c r="F206" i="1"/>
  <c r="L206" i="1"/>
  <c r="F207" i="1"/>
  <c r="H207" i="1"/>
  <c r="F208" i="1"/>
  <c r="L208" i="1"/>
  <c r="H208" i="1"/>
  <c r="F209" i="1"/>
  <c r="L209" i="1"/>
  <c r="H209" i="1"/>
  <c r="F201" i="1"/>
  <c r="L201" i="1"/>
  <c r="H201" i="1"/>
  <c r="F202" i="1"/>
  <c r="L202" i="1"/>
  <c r="F199" i="1"/>
  <c r="H199" i="1"/>
  <c r="F187" i="1"/>
  <c r="H187" i="1"/>
  <c r="F179" i="1"/>
  <c r="H179" i="1"/>
  <c r="F177" i="1"/>
  <c r="L177" i="1"/>
  <c r="H177" i="1"/>
  <c r="F173" i="1"/>
  <c r="L173" i="1"/>
  <c r="H173" i="1"/>
  <c r="F169" i="1"/>
  <c r="L169" i="1"/>
  <c r="H169" i="1"/>
  <c r="F167" i="1"/>
  <c r="H167" i="1"/>
  <c r="F151" i="1"/>
  <c r="H151" i="1"/>
  <c r="F146" i="1"/>
  <c r="L146" i="1"/>
  <c r="F147" i="1"/>
  <c r="H147" i="1"/>
  <c r="F148" i="1"/>
  <c r="L148" i="1"/>
  <c r="H148" i="1"/>
  <c r="F142" i="1"/>
  <c r="L142" i="1"/>
  <c r="F139" i="1"/>
  <c r="H139" i="1"/>
  <c r="F136" i="1"/>
  <c r="H136" i="1"/>
  <c r="L136" i="1"/>
  <c r="F122" i="1"/>
  <c r="L122" i="1"/>
  <c r="F119" i="1"/>
  <c r="H119" i="1"/>
  <c r="F116" i="1"/>
  <c r="L116" i="1"/>
  <c r="H116" i="1"/>
  <c r="F117" i="1"/>
  <c r="L117" i="1"/>
  <c r="H117" i="1"/>
  <c r="F114" i="1"/>
  <c r="L114" i="1"/>
  <c r="F109" i="1"/>
  <c r="L109" i="1"/>
  <c r="H109" i="1"/>
  <c r="F110" i="1"/>
  <c r="L110" i="1"/>
  <c r="F111" i="1"/>
  <c r="H111" i="1"/>
  <c r="F112" i="1"/>
  <c r="L112" i="1"/>
  <c r="H112" i="1"/>
  <c r="F107" i="1"/>
  <c r="H107" i="1"/>
  <c r="F103" i="1"/>
  <c r="H103" i="1"/>
  <c r="F97" i="1"/>
  <c r="F87" i="1"/>
  <c r="F84" i="1"/>
  <c r="L84" i="1"/>
  <c r="F81" i="1"/>
  <c r="L81" i="1"/>
  <c r="F79" i="1"/>
  <c r="F73" i="1"/>
  <c r="L73" i="1"/>
  <c r="F71" i="1"/>
  <c r="F51" i="1"/>
  <c r="F52" i="1"/>
  <c r="L52" i="1"/>
  <c r="F53" i="1"/>
  <c r="L53" i="1"/>
  <c r="F54" i="1"/>
  <c r="F45" i="1"/>
  <c r="F37" i="1"/>
  <c r="F38" i="1"/>
  <c r="F39" i="1"/>
  <c r="L39" i="1"/>
  <c r="F33" i="1"/>
  <c r="L33" i="1"/>
  <c r="F34" i="1"/>
  <c r="L34" i="1"/>
  <c r="F35" i="1"/>
  <c r="L20" i="1"/>
  <c r="L14" i="1"/>
  <c r="L15" i="1"/>
  <c r="L17" i="1"/>
  <c r="L18" i="1"/>
  <c r="U3" i="1"/>
  <c r="V3" i="1" s="1"/>
  <c r="U4" i="1"/>
  <c r="V4" i="1" s="1"/>
  <c r="U5" i="1"/>
  <c r="V5" i="1" s="1"/>
  <c r="U6" i="1"/>
  <c r="V6" i="1"/>
  <c r="S7" i="1"/>
  <c r="T7" i="1"/>
  <c r="U7" i="1" l="1"/>
  <c r="V7" i="1" s="1"/>
  <c r="W5" i="1"/>
  <c r="W3" i="1"/>
  <c r="H7" i="2"/>
  <c r="J29" i="2"/>
  <c r="I29" i="2"/>
  <c r="K28" i="2"/>
  <c r="H28" i="2" s="1"/>
  <c r="K27" i="2"/>
  <c r="H27" i="2" s="1"/>
  <c r="K26" i="2"/>
  <c r="J18" i="2"/>
  <c r="I18" i="2"/>
  <c r="K17" i="2"/>
  <c r="G17" i="2" s="1"/>
  <c r="K16" i="2"/>
  <c r="H16" i="2" s="1"/>
  <c r="K15" i="2"/>
  <c r="G15" i="2" s="1"/>
  <c r="K14" i="2"/>
  <c r="H14" i="2" s="1"/>
  <c r="K13" i="2"/>
  <c r="H13" i="2" s="1"/>
  <c r="K12" i="2"/>
  <c r="H12" i="2" s="1"/>
  <c r="H15" i="2" l="1"/>
  <c r="G12" i="2"/>
  <c r="K29" i="2"/>
  <c r="F29" i="2" s="1"/>
  <c r="G27" i="2"/>
  <c r="G26" i="2"/>
  <c r="H26" i="2"/>
  <c r="H17" i="2"/>
  <c r="G28" i="2"/>
  <c r="G14" i="2"/>
  <c r="G16" i="2"/>
  <c r="K18" i="2"/>
  <c r="F18" i="2" s="1"/>
  <c r="G13" i="2"/>
  <c r="L11" i="1" l="1"/>
  <c r="N259" i="1" l="1"/>
  <c r="H258" i="1"/>
  <c r="G258" i="1"/>
  <c r="F258" i="1"/>
  <c r="H257" i="1"/>
  <c r="G257" i="1"/>
  <c r="F257" i="1"/>
  <c r="H256" i="1"/>
  <c r="G256" i="1"/>
  <c r="F256" i="1"/>
  <c r="H255" i="1"/>
  <c r="G255" i="1"/>
  <c r="F255" i="1"/>
  <c r="H254" i="1"/>
  <c r="G254" i="1"/>
  <c r="F254" i="1"/>
  <c r="H253" i="1"/>
  <c r="G253" i="1"/>
  <c r="F253" i="1"/>
  <c r="H252" i="1"/>
  <c r="G252" i="1"/>
  <c r="F252" i="1"/>
  <c r="H251" i="1"/>
  <c r="F251" i="1"/>
  <c r="H249" i="1"/>
  <c r="G249" i="1"/>
  <c r="F249" i="1"/>
  <c r="H248" i="1"/>
  <c r="G248" i="1"/>
  <c r="F248" i="1"/>
  <c r="H247" i="1"/>
  <c r="F247" i="1"/>
  <c r="H246" i="1"/>
  <c r="G246" i="1"/>
  <c r="F246" i="1"/>
  <c r="H245" i="1"/>
  <c r="G245" i="1"/>
  <c r="F245" i="1"/>
  <c r="H244" i="1"/>
  <c r="G244" i="1"/>
  <c r="F244" i="1"/>
  <c r="H243" i="1"/>
  <c r="F243" i="1"/>
  <c r="H240" i="1"/>
  <c r="L240" i="1"/>
  <c r="F240" i="1"/>
  <c r="L238" i="1"/>
  <c r="F238" i="1"/>
  <c r="H237" i="1"/>
  <c r="L237" i="1"/>
  <c r="F237" i="1"/>
  <c r="H236" i="1"/>
  <c r="L236" i="1"/>
  <c r="F236" i="1"/>
  <c r="H235" i="1"/>
  <c r="F235" i="1"/>
  <c r="L234" i="1"/>
  <c r="F234" i="1"/>
  <c r="H233" i="1"/>
  <c r="L233" i="1"/>
  <c r="F233" i="1"/>
  <c r="G230" i="1"/>
  <c r="F230" i="1"/>
  <c r="G229" i="1"/>
  <c r="F229" i="1"/>
  <c r="G228" i="1"/>
  <c r="F228" i="1"/>
  <c r="N227" i="1"/>
  <c r="H226" i="1"/>
  <c r="G226" i="1"/>
  <c r="F226" i="1"/>
  <c r="H225" i="1"/>
  <c r="G225" i="1"/>
  <c r="F225" i="1"/>
  <c r="H224" i="1"/>
  <c r="G224" i="1"/>
  <c r="F224" i="1"/>
  <c r="H223" i="1"/>
  <c r="G223" i="1"/>
  <c r="F223" i="1"/>
  <c r="H222" i="1"/>
  <c r="G222" i="1"/>
  <c r="F222" i="1"/>
  <c r="H221" i="1"/>
  <c r="G221" i="1"/>
  <c r="F221" i="1"/>
  <c r="H220" i="1"/>
  <c r="G220" i="1"/>
  <c r="F220" i="1"/>
  <c r="H219" i="1"/>
  <c r="G219" i="1"/>
  <c r="F219" i="1"/>
  <c r="H218" i="1"/>
  <c r="G218" i="1"/>
  <c r="F218" i="1"/>
  <c r="H217" i="1"/>
  <c r="G217" i="1"/>
  <c r="F217" i="1"/>
  <c r="H216" i="1"/>
  <c r="G216" i="1"/>
  <c r="F216" i="1"/>
  <c r="H215" i="1"/>
  <c r="G215" i="1"/>
  <c r="F215" i="1"/>
  <c r="H214" i="1"/>
  <c r="G214" i="1"/>
  <c r="F214" i="1"/>
  <c r="H213" i="1"/>
  <c r="G213" i="1"/>
  <c r="F213" i="1"/>
  <c r="H212" i="1"/>
  <c r="G212" i="1"/>
  <c r="F212" i="1"/>
  <c r="L210" i="1"/>
  <c r="F210" i="1"/>
  <c r="H203" i="1"/>
  <c r="F203" i="1"/>
  <c r="H200" i="1"/>
  <c r="L200" i="1"/>
  <c r="F200" i="1"/>
  <c r="G198" i="1"/>
  <c r="F198" i="1"/>
  <c r="G197" i="1"/>
  <c r="F197" i="1"/>
  <c r="G196" i="1"/>
  <c r="F196" i="1"/>
  <c r="N195" i="1"/>
  <c r="H194" i="1"/>
  <c r="G194" i="1"/>
  <c r="F194" i="1"/>
  <c r="H193" i="1"/>
  <c r="G193" i="1"/>
  <c r="F193" i="1"/>
  <c r="H192" i="1"/>
  <c r="G192" i="1"/>
  <c r="F192" i="1"/>
  <c r="H191" i="1"/>
  <c r="G191" i="1"/>
  <c r="F191" i="1"/>
  <c r="H190" i="1"/>
  <c r="G190" i="1"/>
  <c r="F190" i="1"/>
  <c r="H189" i="1"/>
  <c r="G189" i="1"/>
  <c r="F189" i="1"/>
  <c r="H188" i="1"/>
  <c r="G188" i="1"/>
  <c r="F188" i="1"/>
  <c r="H186" i="1"/>
  <c r="G186" i="1"/>
  <c r="F186" i="1"/>
  <c r="H185" i="1"/>
  <c r="G185" i="1"/>
  <c r="F185" i="1"/>
  <c r="H184" i="1"/>
  <c r="G184" i="1"/>
  <c r="F184" i="1"/>
  <c r="H183" i="1"/>
  <c r="G183" i="1"/>
  <c r="F183" i="1"/>
  <c r="H182" i="1"/>
  <c r="G182" i="1"/>
  <c r="F182" i="1"/>
  <c r="H181" i="1"/>
  <c r="G181" i="1"/>
  <c r="F181" i="1"/>
  <c r="H180" i="1"/>
  <c r="G180" i="1"/>
  <c r="F180" i="1"/>
  <c r="L178" i="1"/>
  <c r="F178" i="1"/>
  <c r="H176" i="1"/>
  <c r="L176" i="1"/>
  <c r="F176" i="1"/>
  <c r="H175" i="1"/>
  <c r="G175" i="1"/>
  <c r="F175" i="1"/>
  <c r="L174" i="1"/>
  <c r="F174" i="1"/>
  <c r="H172" i="1"/>
  <c r="L172" i="1"/>
  <c r="F172" i="1"/>
  <c r="H171" i="1"/>
  <c r="F171" i="1"/>
  <c r="L170" i="1"/>
  <c r="F170" i="1"/>
  <c r="H168" i="1"/>
  <c r="G168" i="1"/>
  <c r="F168" i="1"/>
  <c r="G166" i="1"/>
  <c r="F166" i="1"/>
  <c r="G165" i="1"/>
  <c r="F165" i="1"/>
  <c r="G164" i="1"/>
  <c r="F164" i="1"/>
  <c r="N163" i="1"/>
  <c r="H162" i="1"/>
  <c r="G162" i="1"/>
  <c r="F162" i="1"/>
  <c r="H161" i="1"/>
  <c r="G161" i="1"/>
  <c r="F161" i="1"/>
  <c r="F160" i="1"/>
  <c r="F159" i="1"/>
  <c r="H158" i="1"/>
  <c r="G158" i="1"/>
  <c r="F158" i="1"/>
  <c r="H157" i="1"/>
  <c r="G157" i="1"/>
  <c r="F157" i="1"/>
  <c r="H156" i="1"/>
  <c r="G156" i="1"/>
  <c r="F156" i="1"/>
  <c r="H155" i="1"/>
  <c r="F155" i="1"/>
  <c r="H154" i="1"/>
  <c r="G154" i="1"/>
  <c r="F154" i="1"/>
  <c r="H153" i="1"/>
  <c r="G153" i="1"/>
  <c r="F153" i="1"/>
  <c r="H152" i="1"/>
  <c r="G152" i="1"/>
  <c r="F152" i="1"/>
  <c r="H150" i="1"/>
  <c r="G150" i="1"/>
  <c r="F150" i="1"/>
  <c r="H149" i="1"/>
  <c r="L149" i="1"/>
  <c r="F149" i="1"/>
  <c r="H145" i="1"/>
  <c r="L145" i="1"/>
  <c r="F145" i="1"/>
  <c r="H144" i="1"/>
  <c r="L144" i="1"/>
  <c r="F144" i="1"/>
  <c r="H143" i="1"/>
  <c r="G143" i="1"/>
  <c r="F143" i="1"/>
  <c r="H141" i="1"/>
  <c r="L141" i="1"/>
  <c r="F141" i="1"/>
  <c r="H140" i="1"/>
  <c r="L140" i="1"/>
  <c r="F140" i="1"/>
  <c r="L138" i="1"/>
  <c r="F138" i="1"/>
  <c r="H137" i="1"/>
  <c r="L137" i="1"/>
  <c r="F137" i="1"/>
  <c r="H135" i="1"/>
  <c r="F135" i="1"/>
  <c r="G134" i="1"/>
  <c r="F134" i="1"/>
  <c r="G133" i="1"/>
  <c r="F133" i="1"/>
  <c r="G132" i="1"/>
  <c r="F132" i="1"/>
  <c r="N131" i="1"/>
  <c r="H130" i="1"/>
  <c r="G130" i="1"/>
  <c r="F130" i="1"/>
  <c r="H129" i="1"/>
  <c r="G129" i="1"/>
  <c r="F129" i="1"/>
  <c r="H128" i="1"/>
  <c r="G128" i="1"/>
  <c r="F128" i="1"/>
  <c r="H127" i="1"/>
  <c r="G127" i="1"/>
  <c r="F127" i="1"/>
  <c r="H126" i="1"/>
  <c r="G126" i="1"/>
  <c r="F126" i="1"/>
  <c r="H125" i="1"/>
  <c r="G125" i="1"/>
  <c r="F125" i="1"/>
  <c r="H124" i="1"/>
  <c r="G124" i="1"/>
  <c r="F124" i="1"/>
  <c r="H123" i="1"/>
  <c r="G123" i="1"/>
  <c r="F123" i="1"/>
  <c r="H121" i="1"/>
  <c r="G121" i="1"/>
  <c r="F121" i="1"/>
  <c r="H120" i="1"/>
  <c r="G120" i="1"/>
  <c r="F120" i="1"/>
  <c r="H118" i="1"/>
  <c r="G118" i="1"/>
  <c r="F118" i="1"/>
  <c r="H115" i="1"/>
  <c r="F115" i="1"/>
  <c r="H113" i="1"/>
  <c r="L113" i="1"/>
  <c r="F113" i="1"/>
  <c r="H108" i="1"/>
  <c r="L108" i="1"/>
  <c r="F108" i="1"/>
  <c r="L106" i="1"/>
  <c r="F106" i="1"/>
  <c r="H105" i="1"/>
  <c r="L105" i="1"/>
  <c r="F105" i="1"/>
  <c r="H104" i="1"/>
  <c r="L104" i="1"/>
  <c r="F104" i="1"/>
  <c r="G102" i="1"/>
  <c r="F102" i="1"/>
  <c r="G101" i="1"/>
  <c r="F101" i="1"/>
  <c r="G100" i="1"/>
  <c r="F100" i="1"/>
  <c r="N99" i="1"/>
  <c r="G98" i="1"/>
  <c r="F98" i="1"/>
  <c r="G96" i="1"/>
  <c r="F96" i="1"/>
  <c r="G95" i="1"/>
  <c r="F95" i="1"/>
  <c r="G94" i="1"/>
  <c r="F94" i="1"/>
  <c r="G93" i="1"/>
  <c r="F93" i="1"/>
  <c r="G92" i="1"/>
  <c r="F92" i="1"/>
  <c r="F91" i="1"/>
  <c r="G90" i="1"/>
  <c r="F90" i="1"/>
  <c r="G89" i="1"/>
  <c r="F89" i="1"/>
  <c r="G88" i="1"/>
  <c r="F88" i="1"/>
  <c r="G86" i="1"/>
  <c r="F86" i="1"/>
  <c r="L85" i="1"/>
  <c r="F85" i="1"/>
  <c r="F83" i="1"/>
  <c r="L82" i="1"/>
  <c r="F82" i="1"/>
  <c r="L80" i="1"/>
  <c r="F80" i="1"/>
  <c r="L78" i="1"/>
  <c r="F78" i="1"/>
  <c r="L77" i="1"/>
  <c r="F77" i="1"/>
  <c r="L76" i="1"/>
  <c r="F76" i="1"/>
  <c r="F75" i="1"/>
  <c r="L74" i="1"/>
  <c r="F74" i="1"/>
  <c r="G72" i="1"/>
  <c r="F72" i="1"/>
  <c r="G70" i="1"/>
  <c r="F70" i="1"/>
  <c r="G69" i="1"/>
  <c r="F69" i="1"/>
  <c r="G68" i="1"/>
  <c r="F68" i="1"/>
  <c r="N67" i="1"/>
  <c r="G66" i="1"/>
  <c r="F66" i="1"/>
  <c r="G65" i="1"/>
  <c r="F65" i="1"/>
  <c r="F64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L55" i="1"/>
  <c r="F55" i="1"/>
  <c r="G50" i="1"/>
  <c r="F50" i="1"/>
  <c r="G49" i="1"/>
  <c r="F49" i="1"/>
  <c r="N48" i="1"/>
  <c r="G47" i="1"/>
  <c r="F47" i="1"/>
  <c r="G46" i="1"/>
  <c r="F46" i="1"/>
  <c r="F44" i="1"/>
  <c r="G43" i="1"/>
  <c r="F43" i="1"/>
  <c r="G42" i="1"/>
  <c r="F42" i="1"/>
  <c r="G41" i="1"/>
  <c r="F41" i="1"/>
  <c r="G40" i="1"/>
  <c r="F40" i="1"/>
  <c r="G36" i="1"/>
  <c r="F36" i="1"/>
  <c r="F32" i="1"/>
  <c r="G31" i="1"/>
  <c r="F31" i="1"/>
  <c r="G30" i="1"/>
  <c r="F30" i="1"/>
  <c r="N29" i="1"/>
  <c r="G28" i="1"/>
  <c r="G27" i="1"/>
  <c r="G24" i="1"/>
  <c r="L23" i="1"/>
  <c r="G21" i="1"/>
  <c r="G19" i="1"/>
  <c r="G264" i="1" l="1"/>
  <c r="G265" i="1"/>
  <c r="N265" i="1"/>
  <c r="N264" i="1"/>
  <c r="G29" i="1"/>
  <c r="L13" i="2"/>
  <c r="E27" i="2"/>
  <c r="F17" i="2"/>
  <c r="L26" i="2"/>
  <c r="F27" i="2"/>
  <c r="E16" i="2"/>
  <c r="E13" i="2"/>
  <c r="E14" i="2"/>
  <c r="F14" i="2"/>
  <c r="E26" i="2"/>
  <c r="D15" i="2"/>
  <c r="L14" i="2"/>
  <c r="E17" i="2"/>
  <c r="C16" i="2"/>
  <c r="C26" i="2"/>
  <c r="C13" i="2"/>
  <c r="D16" i="2"/>
  <c r="F13" i="2"/>
  <c r="L16" i="2"/>
  <c r="D17" i="2"/>
  <c r="F26" i="2"/>
  <c r="D12" i="2"/>
  <c r="L28" i="2"/>
  <c r="F28" i="2"/>
  <c r="D28" i="2"/>
  <c r="D14" i="2"/>
  <c r="L27" i="2"/>
  <c r="D26" i="2"/>
  <c r="D27" i="2"/>
  <c r="L17" i="2"/>
  <c r="C14" i="2"/>
  <c r="L15" i="2"/>
  <c r="E28" i="2"/>
  <c r="C28" i="2"/>
  <c r="C17" i="2"/>
  <c r="C12" i="2"/>
  <c r="F15" i="2"/>
  <c r="F12" i="2"/>
  <c r="F16" i="2"/>
  <c r="C27" i="2"/>
  <c r="C15" i="2"/>
  <c r="E12" i="2"/>
  <c r="L12" i="2"/>
  <c r="E15" i="2"/>
  <c r="D13" i="2"/>
</calcChain>
</file>

<file path=xl/sharedStrings.xml><?xml version="1.0" encoding="utf-8"?>
<sst xmlns="http://schemas.openxmlformats.org/spreadsheetml/2006/main" count="905" uniqueCount="84">
  <si>
    <t>הצהרה על דירות - לפי מכרז מחיר למשתכן</t>
  </si>
  <si>
    <t>כמות חדרים</t>
  </si>
  <si>
    <t>סה"כ</t>
  </si>
  <si>
    <t>דירות לשוק חופשי</t>
  </si>
  <si>
    <t>משתכן ביחידות</t>
  </si>
  <si>
    <t>משתכן באחוזים</t>
  </si>
  <si>
    <t>ממוצע דירות קטנות/ גדולות</t>
  </si>
  <si>
    <t>שם ישוב:</t>
  </si>
  <si>
    <t>עכו</t>
  </si>
  <si>
    <t>שם קבלן/יזם:</t>
  </si>
  <si>
    <t>מספר מתחם:</t>
  </si>
  <si>
    <t>מחיר למטר כולל מע"מ בש"ח (ללא הצמדה):</t>
  </si>
  <si>
    <t>מספר יח"ד במתחם:</t>
  </si>
  <si>
    <t>מספר יח"ד במחיר למשתכן:</t>
  </si>
  <si>
    <t>אחוז דירות מחיר למשתכן:</t>
  </si>
  <si>
    <t>מספר/שם מבנה</t>
  </si>
  <si>
    <t>מספר מגרש בתב"ע</t>
  </si>
  <si>
    <t>מספר דירה</t>
  </si>
  <si>
    <t xml:space="preserve">טיפוס דירה (תשריט) </t>
  </si>
  <si>
    <t>קומה</t>
  </si>
  <si>
    <t>מספר חדרים</t>
  </si>
  <si>
    <t>שטח מרפסת שמש ו/או שטח גינה צמודה</t>
  </si>
  <si>
    <t xml:space="preserve">שטח גינה מחושב </t>
  </si>
  <si>
    <t>שטח מחסן</t>
  </si>
  <si>
    <t>כמות חניות לדירה</t>
  </si>
  <si>
    <t>מחיר דירה
לפי
מחיר למשתכן</t>
  </si>
  <si>
    <t>מכירה במסגרת מחיר למשתכן (כן/לא)</t>
  </si>
  <si>
    <t>מספר מחסן</t>
  </si>
  <si>
    <t>L</t>
  </si>
  <si>
    <t>קרקע</t>
  </si>
  <si>
    <t>כן</t>
  </si>
  <si>
    <t>GB</t>
  </si>
  <si>
    <t>לא</t>
  </si>
  <si>
    <t>A</t>
  </si>
  <si>
    <t>C</t>
  </si>
  <si>
    <t>B</t>
  </si>
  <si>
    <t>R</t>
  </si>
  <si>
    <t>S</t>
  </si>
  <si>
    <t>T</t>
  </si>
  <si>
    <t>U</t>
  </si>
  <si>
    <t>שטח דירה ממוצע בבניין</t>
  </si>
  <si>
    <t>אחוז דירות מחיר למשתכן בבניין</t>
  </si>
  <si>
    <t>CG</t>
  </si>
  <si>
    <t>BG</t>
  </si>
  <si>
    <t>H</t>
  </si>
  <si>
    <t>DG</t>
  </si>
  <si>
    <t>EG</t>
  </si>
  <si>
    <t>FG</t>
  </si>
  <si>
    <t>D</t>
  </si>
  <si>
    <t>E</t>
  </si>
  <si>
    <t>F</t>
  </si>
  <si>
    <t>G</t>
  </si>
  <si>
    <t>W</t>
  </si>
  <si>
    <t>V</t>
  </si>
  <si>
    <t>סה"כ שטח דירות מחיר למשתכן במתחם</t>
  </si>
  <si>
    <t>מספר דירות מחיר למשתכן</t>
  </si>
  <si>
    <t>שטח דירה ממוצע במתחם</t>
  </si>
  <si>
    <t>אחוז דירות מחיר למשתכן</t>
  </si>
  <si>
    <t>ד</t>
  </si>
  <si>
    <r>
      <rPr>
        <b/>
        <sz val="16"/>
        <color theme="1"/>
        <rFont val="Arial"/>
        <family val="2"/>
        <scheme val="minor"/>
      </rPr>
      <t>הצהרה</t>
    </r>
    <r>
      <rPr>
        <sz val="12"/>
        <color theme="1"/>
        <rFont val="Arial"/>
        <family val="2"/>
        <charset val="177"/>
        <scheme val="minor"/>
      </rPr>
      <t xml:space="preserve">
אנו מצהירים שחישוב השטחים ומפרט הדירות לעיל בהתאם לדרישות מכרז מחיר למשתכן</t>
    </r>
  </si>
  <si>
    <t xml:space="preserve">  יזם / קבלן                אדריכל                         מודד                                 עו"ד                </t>
  </si>
  <si>
    <t xml:space="preserve">   
      תאריך:       ______________     ______________        ________________     ________________
      חתימה:      ______________     ______________        ________________     ________________</t>
  </si>
  <si>
    <t>51213 מתחם</t>
  </si>
  <si>
    <t>בנייני H</t>
  </si>
  <si>
    <t>מספר בניין</t>
  </si>
  <si>
    <t>יחס שוק חופשי</t>
  </si>
  <si>
    <t>אחוז מינמלי לשוק חופשי</t>
  </si>
  <si>
    <t>אחוז מקסימלי לשוק חופשי</t>
  </si>
  <si>
    <t>אחוז יח"ד שוק חופשי</t>
  </si>
  <si>
    <t>אחוז יח"ד משתכן</t>
  </si>
  <si>
    <t>יח"ד משתכן</t>
  </si>
  <si>
    <t>יח"ד שוק חופשי</t>
  </si>
  <si>
    <t>סה"כ דירות</t>
  </si>
  <si>
    <t>הערות</t>
  </si>
  <si>
    <t>אחוז שוק חופשי במתחם</t>
  </si>
  <si>
    <t>בנייני L</t>
  </si>
  <si>
    <t>ספייס בנייה ויזמות בע"מ/ לאטי יזמות ובנייה </t>
  </si>
  <si>
    <t>מחיר דירה ממודד</t>
  </si>
  <si>
    <t>מחירון ימי בחירה 21-23/7/24</t>
  </si>
  <si>
    <r>
      <t>שטח דירה</t>
    </r>
    <r>
      <rPr>
        <sz val="14"/>
        <color rgb="FFFF0000"/>
        <rFont val="David"/>
        <family val="2"/>
      </rPr>
      <t>*</t>
    </r>
    <r>
      <rPr>
        <b/>
        <sz val="14"/>
        <color theme="3"/>
        <rFont val="David"/>
        <family val="2"/>
      </rPr>
      <t xml:space="preserve"> (מטר)</t>
    </r>
  </si>
  <si>
    <t>הגרלה:</t>
  </si>
  <si>
    <t xml:space="preserve"> </t>
  </si>
  <si>
    <r>
      <t>שטח דירה</t>
    </r>
    <r>
      <rPr>
        <sz val="14"/>
        <color rgb="FF0070C0"/>
        <rFont val="David"/>
        <family val="2"/>
      </rPr>
      <t>*</t>
    </r>
    <r>
      <rPr>
        <b/>
        <sz val="14"/>
        <color rgb="FF0070C0"/>
        <rFont val="David"/>
        <family val="2"/>
      </rPr>
      <t xml:space="preserve"> (מטר)</t>
    </r>
  </si>
  <si>
    <t>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</si>
</sst>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₪&quot;\ * #,##0.00_ ;_ &quot;₪&quot;\ * \-#,##0.00_ ;_ &quot;₪&quot;\ * &quot;-&quot;??_ ;_ @_ "/>
    <numFmt numFmtId="164" formatCode="_ &quot;₪&quot;\ * #,##0_ ;_ &quot;₪&quot;\ * \-#,##0_ ;_ &quot;₪&quot;\ * &quot;-&quot;??_ ;_ @_ "/>
    <numFmt numFmtId="165" formatCode="0.0%"/>
    <numFmt numFmtId="166" formatCode="0.0"/>
    <numFmt numFmtId="167" formatCode="0.0000"/>
  </numFmts>
  <fonts count="4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u/>
      <sz val="14"/>
      <color theme="3"/>
      <name val="Arial"/>
      <family val="2"/>
      <scheme val="minor"/>
    </font>
    <font>
      <b/>
      <sz val="14"/>
      <color rgb="FFFF0000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3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rgb="FF7030A0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0"/>
      <color theme="3"/>
      <name val="Arial"/>
      <family val="2"/>
      <scheme val="minor"/>
    </font>
    <font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2"/>
      <color theme="1"/>
      <name val="Arial"/>
      <family val="2"/>
      <charset val="177"/>
      <scheme val="minor"/>
    </font>
    <font>
      <b/>
      <sz val="12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11"/>
      <color rgb="FF00B050"/>
      <name val="Arial"/>
      <family val="2"/>
      <scheme val="minor"/>
    </font>
    <font>
      <sz val="11"/>
      <name val="Arial"/>
      <family val="2"/>
      <charset val="177"/>
      <scheme val="minor"/>
    </font>
    <font>
      <b/>
      <sz val="11"/>
      <color theme="0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theme="3"/>
      <name val="David"/>
      <family val="2"/>
    </font>
    <font>
      <sz val="14"/>
      <color rgb="FFFF0000"/>
      <name val="David"/>
      <family val="2"/>
    </font>
    <font>
      <b/>
      <sz val="14"/>
      <name val="David"/>
      <family val="2"/>
    </font>
    <font>
      <b/>
      <sz val="14"/>
      <color theme="1"/>
      <name val="David"/>
      <family val="2"/>
    </font>
    <font>
      <sz val="14"/>
      <color theme="1"/>
      <name val="David"/>
      <family val="2"/>
    </font>
    <font>
      <sz val="14"/>
      <name val="David"/>
      <family val="2"/>
    </font>
    <font>
      <b/>
      <sz val="14"/>
      <color theme="0"/>
      <name val="David"/>
      <family val="2"/>
    </font>
    <font>
      <sz val="14"/>
      <color theme="0"/>
      <name val="David"/>
      <family val="2"/>
    </font>
    <font>
      <b/>
      <sz val="14"/>
      <color rgb="FF0070C0"/>
      <name val="David"/>
      <family val="2"/>
    </font>
    <font>
      <b/>
      <sz val="20"/>
      <color rgb="FFFF0000"/>
      <name val="Times New Roman"/>
      <family val="1"/>
      <scheme val="major"/>
    </font>
    <font>
      <b/>
      <sz val="22"/>
      <color rgb="FFFF0000"/>
      <name val="Times New Roman"/>
      <family val="1"/>
      <scheme val="major"/>
    </font>
    <font>
      <sz val="12"/>
      <color theme="1"/>
      <name val="Times New Roman"/>
      <family val="1"/>
      <scheme val="major"/>
    </font>
    <font>
      <b/>
      <sz val="10"/>
      <color rgb="FF0070C0"/>
      <name val="David"/>
      <family val="2"/>
    </font>
    <font>
      <sz val="10"/>
      <color theme="1"/>
      <name val="David"/>
      <family val="2"/>
    </font>
    <font>
      <b/>
      <sz val="10"/>
      <color rgb="FF0070C0"/>
      <name val="Times New Roman"/>
      <family val="1"/>
      <scheme val="major"/>
    </font>
    <font>
      <sz val="10"/>
      <color theme="1"/>
      <name val="Times New Roman"/>
      <family val="1"/>
      <scheme val="major"/>
    </font>
    <font>
      <sz val="14"/>
      <color rgb="FF0070C0"/>
      <name val="David"/>
      <family val="2"/>
    </font>
    <font>
      <sz val="12"/>
      <name val="Arial"/>
      <family val="2"/>
      <scheme val="minor"/>
    </font>
    <font>
      <b/>
      <sz val="11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5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" borderId="1" applyNumberFormat="0" applyFont="0" applyAlignment="0" applyProtection="0"/>
  </cellStyleXfs>
  <cellXfs count="491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5" fontId="0" fillId="0" borderId="0" xfId="2" applyNumberFormat="1" applyFont="1" applyFill="1" applyBorder="1" applyAlignment="1">
      <alignment horizontal="center"/>
    </xf>
    <xf numFmtId="0" fontId="12" fillId="0" borderId="0" xfId="0" applyFont="1"/>
    <xf numFmtId="165" fontId="14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9" fontId="23" fillId="8" borderId="18" xfId="2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22" fillId="0" borderId="9" xfId="0" applyNumberFormat="1" applyFont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9" fontId="0" fillId="0" borderId="28" xfId="0" applyNumberFormat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 wrapText="1"/>
    </xf>
    <xf numFmtId="9" fontId="23" fillId="8" borderId="19" xfId="2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164" fontId="8" fillId="4" borderId="4" xfId="1" applyNumberFormat="1" applyFont="1" applyFill="1" applyBorder="1" applyAlignment="1" applyProtection="1">
      <alignment horizontal="center" vertical="center" wrapText="1"/>
      <protection locked="0"/>
    </xf>
    <xf numFmtId="164" fontId="8" fillId="4" borderId="3" xfId="1" applyNumberFormat="1" applyFont="1" applyFill="1" applyBorder="1" applyAlignment="1" applyProtection="1">
      <alignment horizontal="center" vertical="center" wrapText="1"/>
      <protection locked="0"/>
    </xf>
    <xf numFmtId="164" fontId="8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165" fontId="0" fillId="4" borderId="6" xfId="2" applyNumberFormat="1" applyFont="1" applyFill="1" applyBorder="1" applyAlignment="1" applyProtection="1">
      <alignment horizontal="center" vertical="center"/>
      <protection locked="0"/>
    </xf>
    <xf numFmtId="165" fontId="8" fillId="4" borderId="17" xfId="2" applyNumberFormat="1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165" fontId="0" fillId="4" borderId="9" xfId="2" applyNumberFormat="1" applyFont="1" applyFill="1" applyBorder="1" applyAlignment="1" applyProtection="1">
      <alignment horizontal="center" vertical="center"/>
      <protection locked="0"/>
    </xf>
    <xf numFmtId="165" fontId="8" fillId="4" borderId="8" xfId="2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Protection="1"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165" fontId="0" fillId="4" borderId="8" xfId="2" applyNumberFormat="1" applyFont="1" applyFill="1" applyBorder="1" applyAlignment="1" applyProtection="1">
      <alignment horizontal="center" vertical="center"/>
      <protection locked="0"/>
    </xf>
    <xf numFmtId="165" fontId="8" fillId="4" borderId="33" xfId="2" applyNumberFormat="1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165" fontId="8" fillId="4" borderId="10" xfId="2" applyNumberFormat="1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8" fillId="6" borderId="3" xfId="3" applyFont="1" applyFill="1" applyBorder="1" applyAlignment="1" applyProtection="1">
      <alignment horizontal="center" vertical="center"/>
      <protection locked="0"/>
    </xf>
    <xf numFmtId="0" fontId="8" fillId="6" borderId="4" xfId="3" applyFont="1" applyFill="1" applyBorder="1" applyAlignment="1" applyProtection="1">
      <alignment horizontal="center" vertical="center"/>
      <protection locked="0"/>
    </xf>
    <xf numFmtId="0" fontId="0" fillId="6" borderId="3" xfId="3" applyFont="1" applyFill="1" applyBorder="1" applyAlignment="1" applyProtection="1">
      <alignment horizontal="center" vertical="center"/>
      <protection locked="0"/>
    </xf>
    <xf numFmtId="165" fontId="8" fillId="5" borderId="3" xfId="0" applyNumberFormat="1" applyFont="1" applyFill="1" applyBorder="1" applyAlignment="1" applyProtection="1">
      <alignment horizontal="center" vertical="center"/>
      <protection locked="0"/>
    </xf>
    <xf numFmtId="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9" fillId="0" borderId="20" xfId="0" applyFont="1" applyBorder="1" applyAlignment="1" applyProtection="1">
      <alignment horizontal="right" vertical="center"/>
      <protection locked="0"/>
    </xf>
    <xf numFmtId="0" fontId="9" fillId="0" borderId="21" xfId="0" applyFont="1" applyBorder="1" applyAlignment="1" applyProtection="1">
      <alignment horizontal="right" vertical="center"/>
      <protection locked="0"/>
    </xf>
    <xf numFmtId="0" fontId="9" fillId="0" borderId="22" xfId="0" applyFont="1" applyBorder="1" applyAlignment="1" applyProtection="1">
      <alignment horizontal="right" vertical="center"/>
      <protection locked="0"/>
    </xf>
    <xf numFmtId="0" fontId="9" fillId="0" borderId="23" xfId="0" applyFont="1" applyBorder="1" applyAlignment="1" applyProtection="1">
      <alignment horizontal="center"/>
      <protection locked="0"/>
    </xf>
    <xf numFmtId="3" fontId="12" fillId="0" borderId="0" xfId="0" applyNumberFormat="1" applyFont="1" applyProtection="1">
      <protection locked="0"/>
    </xf>
    <xf numFmtId="0" fontId="9" fillId="0" borderId="20" xfId="0" applyFont="1" applyBorder="1" applyProtection="1">
      <protection locked="0"/>
    </xf>
    <xf numFmtId="0" fontId="9" fillId="0" borderId="21" xfId="0" applyFont="1" applyBorder="1" applyProtection="1">
      <protection locked="0"/>
    </xf>
    <xf numFmtId="0" fontId="15" fillId="0" borderId="22" xfId="0" applyFont="1" applyBorder="1" applyProtection="1">
      <protection locked="0"/>
    </xf>
    <xf numFmtId="165" fontId="12" fillId="0" borderId="0" xfId="0" applyNumberFormat="1" applyFont="1" applyAlignment="1" applyProtection="1">
      <alignment horizontal="center"/>
      <protection locked="0"/>
    </xf>
    <xf numFmtId="166" fontId="9" fillId="0" borderId="23" xfId="0" applyNumberFormat="1" applyFont="1" applyBorder="1" applyAlignment="1" applyProtection="1">
      <alignment horizontal="center"/>
      <protection locked="0"/>
    </xf>
    <xf numFmtId="165" fontId="9" fillId="0" borderId="23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 vertical="center" wrapText="1" readingOrder="2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165" fontId="8" fillId="6" borderId="4" xfId="3" applyNumberFormat="1" applyFont="1" applyFill="1" applyBorder="1" applyAlignment="1" applyProtection="1">
      <alignment horizontal="center" vertical="center"/>
      <protection locked="0"/>
    </xf>
    <xf numFmtId="3" fontId="8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9" fillId="0" borderId="22" xfId="0" applyFont="1" applyBorder="1" applyProtection="1"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26" fillId="8" borderId="11" xfId="0" applyFont="1" applyFill="1" applyBorder="1" applyAlignment="1" applyProtection="1">
      <alignment horizontal="center" vertical="center" wrapText="1"/>
      <protection locked="0"/>
    </xf>
    <xf numFmtId="0" fontId="26" fillId="0" borderId="34" xfId="0" applyFont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28" fillId="9" borderId="3" xfId="0" applyFont="1" applyFill="1" applyBorder="1" applyAlignment="1" applyProtection="1">
      <alignment horizontal="center" vertical="center" wrapText="1"/>
      <protection locked="0"/>
    </xf>
    <xf numFmtId="0" fontId="30" fillId="0" borderId="6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2" fontId="31" fillId="0" borderId="39" xfId="0" applyNumberFormat="1" applyFont="1" applyBorder="1" applyAlignment="1">
      <alignment horizontal="center" vertical="center"/>
    </xf>
    <xf numFmtId="2" fontId="31" fillId="0" borderId="6" xfId="0" applyNumberFormat="1" applyFont="1" applyBorder="1" applyAlignment="1">
      <alignment horizontal="center" vertical="center"/>
    </xf>
    <xf numFmtId="167" fontId="31" fillId="0" borderId="37" xfId="0" applyNumberFormat="1" applyFont="1" applyBorder="1" applyAlignment="1" applyProtection="1">
      <alignment horizontal="center" vertical="center"/>
      <protection locked="0"/>
    </xf>
    <xf numFmtId="0" fontId="30" fillId="0" borderId="4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3" fontId="28" fillId="0" borderId="39" xfId="0" applyNumberFormat="1" applyFont="1" applyBorder="1" applyAlignment="1">
      <alignment horizontal="center" vertical="center"/>
    </xf>
    <xf numFmtId="3" fontId="31" fillId="9" borderId="6" xfId="0" applyNumberFormat="1" applyFont="1" applyFill="1" applyBorder="1" applyAlignment="1">
      <alignment horizontal="center" vertical="center"/>
    </xf>
    <xf numFmtId="0" fontId="32" fillId="8" borderId="9" xfId="0" applyFont="1" applyFill="1" applyBorder="1" applyAlignment="1">
      <alignment horizontal="center" vertical="center"/>
    </xf>
    <xf numFmtId="0" fontId="32" fillId="8" borderId="40" xfId="0" applyFont="1" applyFill="1" applyBorder="1" applyAlignment="1">
      <alignment horizontal="center" vertical="center"/>
    </xf>
    <xf numFmtId="2" fontId="32" fillId="8" borderId="40" xfId="0" applyNumberFormat="1" applyFont="1" applyFill="1" applyBorder="1" applyAlignment="1">
      <alignment horizontal="center" vertical="center"/>
    </xf>
    <xf numFmtId="2" fontId="32" fillId="8" borderId="9" xfId="0" applyNumberFormat="1" applyFont="1" applyFill="1" applyBorder="1" applyAlignment="1">
      <alignment horizontal="center" vertical="center"/>
    </xf>
    <xf numFmtId="167" fontId="32" fillId="8" borderId="38" xfId="0" applyNumberFormat="1" applyFont="1" applyFill="1" applyBorder="1" applyAlignment="1">
      <alignment horizontal="center" vertical="center"/>
    </xf>
    <xf numFmtId="0" fontId="32" fillId="8" borderId="42" xfId="0" applyFont="1" applyFill="1" applyBorder="1" applyAlignment="1">
      <alignment horizontal="center" vertical="center"/>
    </xf>
    <xf numFmtId="3" fontId="32" fillId="8" borderId="40" xfId="0" applyNumberFormat="1" applyFont="1" applyFill="1" applyBorder="1" applyAlignment="1">
      <alignment horizontal="center" vertical="center"/>
    </xf>
    <xf numFmtId="3" fontId="32" fillId="8" borderId="9" xfId="0" applyNumberFormat="1" applyFont="1" applyFill="1" applyBorder="1" applyAlignment="1">
      <alignment horizontal="center" vertical="center"/>
    </xf>
    <xf numFmtId="0" fontId="32" fillId="8" borderId="9" xfId="0" applyFont="1" applyFill="1" applyBorder="1" applyAlignment="1">
      <alignment horizontal="center"/>
    </xf>
    <xf numFmtId="0" fontId="30" fillId="0" borderId="9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2" fontId="31" fillId="3" borderId="40" xfId="0" applyNumberFormat="1" applyFont="1" applyFill="1" applyBorder="1" applyAlignment="1">
      <alignment horizontal="center" vertical="center"/>
    </xf>
    <xf numFmtId="2" fontId="31" fillId="3" borderId="9" xfId="0" applyNumberFormat="1" applyFont="1" applyFill="1" applyBorder="1" applyAlignment="1">
      <alignment horizontal="center" vertical="center"/>
    </xf>
    <xf numFmtId="167" fontId="31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0" borderId="42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3" fontId="28" fillId="0" borderId="40" xfId="0" applyNumberFormat="1" applyFont="1" applyBorder="1" applyAlignment="1">
      <alignment horizontal="center" vertical="center"/>
    </xf>
    <xf numFmtId="3" fontId="31" fillId="9" borderId="9" xfId="0" applyNumberFormat="1" applyFont="1" applyFill="1" applyBorder="1" applyAlignment="1">
      <alignment horizontal="center" vertical="center"/>
    </xf>
    <xf numFmtId="0" fontId="30" fillId="0" borderId="40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42" xfId="0" applyFont="1" applyBorder="1" applyAlignment="1">
      <alignment horizontal="center"/>
    </xf>
    <xf numFmtId="2" fontId="31" fillId="0" borderId="40" xfId="0" applyNumberFormat="1" applyFont="1" applyBorder="1" applyAlignment="1">
      <alignment horizontal="center" vertical="center"/>
    </xf>
    <xf numFmtId="2" fontId="31" fillId="0" borderId="9" xfId="0" applyNumberFormat="1" applyFont="1" applyBorder="1" applyAlignment="1">
      <alignment horizontal="center" vertical="center"/>
    </xf>
    <xf numFmtId="167" fontId="31" fillId="0" borderId="38" xfId="0" applyNumberFormat="1" applyFont="1" applyBorder="1" applyAlignment="1" applyProtection="1">
      <alignment horizontal="center" vertical="center"/>
      <protection locked="0"/>
    </xf>
    <xf numFmtId="0" fontId="32" fillId="8" borderId="40" xfId="0" applyFont="1" applyFill="1" applyBorder="1" applyAlignment="1">
      <alignment horizontal="center"/>
    </xf>
    <xf numFmtId="0" fontId="31" fillId="0" borderId="40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1" fillId="0" borderId="42" xfId="0" applyFont="1" applyBorder="1" applyAlignment="1">
      <alignment horizontal="center"/>
    </xf>
    <xf numFmtId="0" fontId="31" fillId="0" borderId="42" xfId="0" applyFont="1" applyBorder="1" applyAlignment="1">
      <alignment horizontal="center" vertical="center"/>
    </xf>
    <xf numFmtId="2" fontId="30" fillId="3" borderId="40" xfId="0" applyNumberFormat="1" applyFont="1" applyFill="1" applyBorder="1" applyAlignment="1">
      <alignment horizontal="center" vertical="center"/>
    </xf>
    <xf numFmtId="2" fontId="30" fillId="3" borderId="9" xfId="0" applyNumberFormat="1" applyFont="1" applyFill="1" applyBorder="1" applyAlignment="1">
      <alignment horizontal="center" vertical="center"/>
    </xf>
    <xf numFmtId="167" fontId="30" fillId="3" borderId="38" xfId="0" applyNumberFormat="1" applyFont="1" applyFill="1" applyBorder="1" applyAlignment="1" applyProtection="1">
      <alignment horizontal="center" vertical="center"/>
      <protection locked="0"/>
    </xf>
    <xf numFmtId="0" fontId="32" fillId="8" borderId="10" xfId="0" applyFont="1" applyFill="1" applyBorder="1" applyAlignment="1">
      <alignment horizontal="center" vertical="center"/>
    </xf>
    <xf numFmtId="0" fontId="32" fillId="8" borderId="16" xfId="0" applyFont="1" applyFill="1" applyBorder="1" applyAlignment="1">
      <alignment horizontal="center" vertical="center"/>
    </xf>
    <xf numFmtId="0" fontId="32" fillId="8" borderId="16" xfId="0" applyFont="1" applyFill="1" applyBorder="1" applyAlignment="1">
      <alignment horizontal="center"/>
    </xf>
    <xf numFmtId="0" fontId="32" fillId="8" borderId="10" xfId="0" applyFont="1" applyFill="1" applyBorder="1" applyAlignment="1">
      <alignment horizontal="center"/>
    </xf>
    <xf numFmtId="2" fontId="32" fillId="8" borderId="16" xfId="0" applyNumberFormat="1" applyFont="1" applyFill="1" applyBorder="1" applyAlignment="1">
      <alignment horizontal="center" vertical="center"/>
    </xf>
    <xf numFmtId="2" fontId="32" fillId="8" borderId="10" xfId="0" applyNumberFormat="1" applyFont="1" applyFill="1" applyBorder="1" applyAlignment="1">
      <alignment horizontal="center" vertical="center"/>
    </xf>
    <xf numFmtId="167" fontId="32" fillId="8" borderId="16" xfId="0" applyNumberFormat="1" applyFont="1" applyFill="1" applyBorder="1" applyAlignment="1">
      <alignment horizontal="center" vertical="center"/>
    </xf>
    <xf numFmtId="0" fontId="32" fillId="8" borderId="35" xfId="0" applyFont="1" applyFill="1" applyBorder="1" applyAlignment="1">
      <alignment horizontal="center" vertical="center"/>
    </xf>
    <xf numFmtId="3" fontId="32" fillId="8" borderId="44" xfId="0" applyNumberFormat="1" applyFont="1" applyFill="1" applyBorder="1" applyAlignment="1">
      <alignment horizontal="center" vertical="center"/>
    </xf>
    <xf numFmtId="3" fontId="33" fillId="8" borderId="10" xfId="0" applyNumberFormat="1" applyFont="1" applyFill="1" applyBorder="1" applyAlignment="1">
      <alignment horizontal="center" vertical="center"/>
    </xf>
    <xf numFmtId="0" fontId="34" fillId="0" borderId="12" xfId="0" applyFont="1" applyBorder="1" applyAlignment="1">
      <alignment horizontal="right" vertical="center"/>
    </xf>
    <xf numFmtId="0" fontId="34" fillId="0" borderId="17" xfId="0" applyFont="1" applyBorder="1" applyAlignment="1">
      <alignment horizontal="right" vertical="center"/>
    </xf>
    <xf numFmtId="0" fontId="30" fillId="0" borderId="13" xfId="0" applyFont="1" applyBorder="1" applyAlignment="1">
      <alignment horizontal="right" vertical="center"/>
    </xf>
    <xf numFmtId="0" fontId="30" fillId="0" borderId="17" xfId="0" applyFont="1" applyBorder="1" applyAlignment="1">
      <alignment horizontal="right" vertical="center"/>
    </xf>
    <xf numFmtId="2" fontId="34" fillId="0" borderId="13" xfId="0" applyNumberFormat="1" applyFont="1" applyBorder="1" applyAlignment="1">
      <alignment horizontal="center"/>
    </xf>
    <xf numFmtId="0" fontId="30" fillId="0" borderId="17" xfId="0" applyFont="1" applyBorder="1"/>
    <xf numFmtId="167" fontId="34" fillId="0" borderId="4" xfId="0" applyNumberFormat="1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165" fontId="34" fillId="0" borderId="13" xfId="0" applyNumberFormat="1" applyFont="1" applyBorder="1" applyAlignment="1">
      <alignment horizontal="center"/>
    </xf>
    <xf numFmtId="165" fontId="30" fillId="0" borderId="17" xfId="2" applyNumberFormat="1" applyFont="1" applyFill="1" applyBorder="1" applyAlignment="1">
      <alignment horizontal="center"/>
    </xf>
    <xf numFmtId="0" fontId="32" fillId="8" borderId="6" xfId="0" applyFont="1" applyFill="1" applyBorder="1" applyAlignment="1">
      <alignment horizontal="center" vertical="center"/>
    </xf>
    <xf numFmtId="0" fontId="32" fillId="8" borderId="39" xfId="0" applyFont="1" applyFill="1" applyBorder="1" applyAlignment="1">
      <alignment horizontal="center" vertical="center"/>
    </xf>
    <xf numFmtId="1" fontId="32" fillId="8" borderId="6" xfId="0" applyNumberFormat="1" applyFont="1" applyFill="1" applyBorder="1" applyAlignment="1">
      <alignment horizontal="center" vertical="center"/>
    </xf>
    <xf numFmtId="2" fontId="32" fillId="8" borderId="39" xfId="0" applyNumberFormat="1" applyFont="1" applyFill="1" applyBorder="1" applyAlignment="1">
      <alignment horizontal="center" vertical="center"/>
    </xf>
    <xf numFmtId="2" fontId="32" fillId="8" borderId="6" xfId="0" applyNumberFormat="1" applyFont="1" applyFill="1" applyBorder="1" applyAlignment="1">
      <alignment horizontal="center" vertical="center"/>
    </xf>
    <xf numFmtId="167" fontId="32" fillId="8" borderId="37" xfId="0" applyNumberFormat="1" applyFont="1" applyFill="1" applyBorder="1" applyAlignment="1">
      <alignment horizontal="center" vertical="center"/>
    </xf>
    <xf numFmtId="0" fontId="32" fillId="8" borderId="41" xfId="0" applyFont="1" applyFill="1" applyBorder="1" applyAlignment="1">
      <alignment horizontal="center"/>
    </xf>
    <xf numFmtId="0" fontId="32" fillId="8" borderId="6" xfId="0" applyFont="1" applyFill="1" applyBorder="1" applyAlignment="1">
      <alignment horizontal="center"/>
    </xf>
    <xf numFmtId="3" fontId="32" fillId="8" borderId="39" xfId="0" applyNumberFormat="1" applyFont="1" applyFill="1" applyBorder="1" applyAlignment="1">
      <alignment horizontal="center" vertical="center"/>
    </xf>
    <xf numFmtId="3" fontId="32" fillId="8" borderId="6" xfId="0" applyNumberFormat="1" applyFont="1" applyFill="1" applyBorder="1" applyAlignment="1">
      <alignment horizontal="center" vertical="center"/>
    </xf>
    <xf numFmtId="1" fontId="32" fillId="8" borderId="9" xfId="0" applyNumberFormat="1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40" xfId="0" applyFont="1" applyFill="1" applyBorder="1" applyAlignment="1">
      <alignment horizontal="center" vertical="center"/>
    </xf>
    <xf numFmtId="1" fontId="31" fillId="3" borderId="9" xfId="0" applyNumberFormat="1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0" fontId="32" fillId="8" borderId="42" xfId="0" applyFont="1" applyFill="1" applyBorder="1" applyAlignment="1">
      <alignment horizontal="center"/>
    </xf>
    <xf numFmtId="3" fontId="33" fillId="8" borderId="9" xfId="0" applyNumberFormat="1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 vertical="center"/>
    </xf>
    <xf numFmtId="0" fontId="30" fillId="3" borderId="40" xfId="0" applyFont="1" applyFill="1" applyBorder="1" applyAlignment="1">
      <alignment horizontal="center" vertical="center"/>
    </xf>
    <xf numFmtId="1" fontId="30" fillId="3" borderId="9" xfId="0" applyNumberFormat="1" applyFont="1" applyFill="1" applyBorder="1" applyAlignment="1">
      <alignment horizontal="center" vertical="center"/>
    </xf>
    <xf numFmtId="0" fontId="32" fillId="8" borderId="28" xfId="0" applyFont="1" applyFill="1" applyBorder="1" applyAlignment="1">
      <alignment horizontal="center" vertical="center"/>
    </xf>
    <xf numFmtId="0" fontId="32" fillId="8" borderId="44" xfId="0" applyFont="1" applyFill="1" applyBorder="1" applyAlignment="1">
      <alignment horizontal="center" vertical="center"/>
    </xf>
    <xf numFmtId="1" fontId="32" fillId="8" borderId="28" xfId="0" applyNumberFormat="1" applyFont="1" applyFill="1" applyBorder="1" applyAlignment="1">
      <alignment horizontal="center" vertical="center"/>
    </xf>
    <xf numFmtId="2" fontId="32" fillId="8" borderId="44" xfId="0" applyNumberFormat="1" applyFont="1" applyFill="1" applyBorder="1" applyAlignment="1">
      <alignment horizontal="center" vertical="center"/>
    </xf>
    <xf numFmtId="2" fontId="32" fillId="8" borderId="28" xfId="0" applyNumberFormat="1" applyFont="1" applyFill="1" applyBorder="1" applyAlignment="1">
      <alignment horizontal="center" vertical="center"/>
    </xf>
    <xf numFmtId="167" fontId="32" fillId="8" borderId="43" xfId="0" applyNumberFormat="1" applyFont="1" applyFill="1" applyBorder="1" applyAlignment="1">
      <alignment horizontal="center" vertical="center"/>
    </xf>
    <xf numFmtId="0" fontId="32" fillId="8" borderId="45" xfId="0" applyFont="1" applyFill="1" applyBorder="1" applyAlignment="1">
      <alignment horizontal="center" vertical="center"/>
    </xf>
    <xf numFmtId="3" fontId="32" fillId="8" borderId="28" xfId="0" applyNumberFormat="1" applyFont="1" applyFill="1" applyBorder="1" applyAlignment="1">
      <alignment horizontal="center" vertical="center"/>
    </xf>
    <xf numFmtId="0" fontId="34" fillId="0" borderId="5" xfId="0" applyFont="1" applyBorder="1" applyAlignment="1">
      <alignment horizontal="right" vertical="center"/>
    </xf>
    <xf numFmtId="0" fontId="34" fillId="0" borderId="36" xfId="0" applyFont="1" applyBorder="1" applyAlignment="1">
      <alignment horizontal="right" vertical="center"/>
    </xf>
    <xf numFmtId="0" fontId="30" fillId="0" borderId="36" xfId="0" applyFont="1" applyBorder="1"/>
    <xf numFmtId="0" fontId="34" fillId="0" borderId="10" xfId="0" applyFont="1" applyBorder="1" applyAlignment="1">
      <alignment horizontal="center"/>
    </xf>
    <xf numFmtId="165" fontId="34" fillId="0" borderId="0" xfId="0" applyNumberFormat="1" applyFont="1" applyAlignment="1">
      <alignment horizontal="center"/>
    </xf>
    <xf numFmtId="0" fontId="30" fillId="0" borderId="36" xfId="0" applyFont="1" applyBorder="1" applyAlignment="1">
      <alignment horizontal="center"/>
    </xf>
    <xf numFmtId="0" fontId="32" fillId="8" borderId="39" xfId="0" applyFont="1" applyFill="1" applyBorder="1" applyAlignment="1">
      <alignment horizontal="center"/>
    </xf>
    <xf numFmtId="0" fontId="32" fillId="8" borderId="44" xfId="0" applyFont="1" applyFill="1" applyBorder="1" applyAlignment="1">
      <alignment horizontal="center"/>
    </xf>
    <xf numFmtId="0" fontId="34" fillId="0" borderId="3" xfId="0" applyFont="1" applyBorder="1" applyAlignment="1">
      <alignment horizontal="right" vertical="center"/>
    </xf>
    <xf numFmtId="0" fontId="30" fillId="0" borderId="3" xfId="0" applyFont="1" applyBorder="1"/>
    <xf numFmtId="0" fontId="30" fillId="0" borderId="3" xfId="0" applyFont="1" applyBorder="1" applyAlignment="1">
      <alignment horizontal="center"/>
    </xf>
    <xf numFmtId="2" fontId="32" fillId="8" borderId="41" xfId="0" applyNumberFormat="1" applyFont="1" applyFill="1" applyBorder="1" applyAlignment="1">
      <alignment horizontal="center" vertical="center"/>
    </xf>
    <xf numFmtId="2" fontId="32" fillId="8" borderId="42" xfId="0" applyNumberFormat="1" applyFont="1" applyFill="1" applyBorder="1" applyAlignment="1">
      <alignment horizontal="center" vertical="center"/>
    </xf>
    <xf numFmtId="3" fontId="32" fillId="8" borderId="7" xfId="0" applyNumberFormat="1" applyFont="1" applyFill="1" applyBorder="1" applyAlignment="1">
      <alignment horizontal="center" vertical="center"/>
    </xf>
    <xf numFmtId="3" fontId="32" fillId="8" borderId="8" xfId="0" applyNumberFormat="1" applyFont="1" applyFill="1" applyBorder="1" applyAlignment="1">
      <alignment horizontal="center" vertical="center"/>
    </xf>
    <xf numFmtId="2" fontId="31" fillId="0" borderId="42" xfId="0" applyNumberFormat="1" applyFont="1" applyBorder="1" applyAlignment="1">
      <alignment horizontal="center" vertical="center"/>
    </xf>
    <xf numFmtId="1" fontId="31" fillId="0" borderId="9" xfId="0" applyNumberFormat="1" applyFont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2" fontId="32" fillId="8" borderId="45" xfId="0" applyNumberFormat="1" applyFont="1" applyFill="1" applyBorder="1" applyAlignment="1">
      <alignment horizontal="center" vertical="center"/>
    </xf>
    <xf numFmtId="3" fontId="33" fillId="8" borderId="28" xfId="0" applyNumberFormat="1" applyFont="1" applyFill="1" applyBorder="1" applyAlignment="1">
      <alignment horizontal="center" vertical="center"/>
    </xf>
    <xf numFmtId="0" fontId="32" fillId="8" borderId="28" xfId="0" applyFont="1" applyFill="1" applyBorder="1" applyAlignment="1">
      <alignment horizontal="center"/>
    </xf>
    <xf numFmtId="0" fontId="34" fillId="0" borderId="4" xfId="0" applyFont="1" applyBorder="1" applyAlignment="1">
      <alignment horizontal="right" vertical="center"/>
    </xf>
    <xf numFmtId="3" fontId="33" fillId="8" borderId="6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right" vertical="center"/>
    </xf>
    <xf numFmtId="167" fontId="34" fillId="0" borderId="16" xfId="0" applyNumberFormat="1" applyFont="1" applyBorder="1" applyAlignment="1">
      <alignment horizontal="center"/>
    </xf>
    <xf numFmtId="0" fontId="34" fillId="0" borderId="16" xfId="0" applyFont="1" applyBorder="1" applyAlignment="1">
      <alignment horizontal="center"/>
    </xf>
    <xf numFmtId="0" fontId="32" fillId="8" borderId="33" xfId="0" applyFont="1" applyFill="1" applyBorder="1" applyAlignment="1">
      <alignment horizontal="center" vertical="center"/>
    </xf>
    <xf numFmtId="0" fontId="32" fillId="8" borderId="50" xfId="0" applyFont="1" applyFill="1" applyBorder="1" applyAlignment="1">
      <alignment horizontal="center" vertical="center"/>
    </xf>
    <xf numFmtId="1" fontId="32" fillId="8" borderId="33" xfId="0" applyNumberFormat="1" applyFont="1" applyFill="1" applyBorder="1" applyAlignment="1">
      <alignment horizontal="center" vertical="center"/>
    </xf>
    <xf numFmtId="2" fontId="32" fillId="8" borderId="50" xfId="0" applyNumberFormat="1" applyFont="1" applyFill="1" applyBorder="1" applyAlignment="1">
      <alignment horizontal="center" vertical="center"/>
    </xf>
    <xf numFmtId="2" fontId="32" fillId="8" borderId="33" xfId="0" applyNumberFormat="1" applyFont="1" applyFill="1" applyBorder="1" applyAlignment="1">
      <alignment horizontal="center" vertical="center"/>
    </xf>
    <xf numFmtId="167" fontId="32" fillId="8" borderId="48" xfId="0" applyNumberFormat="1" applyFont="1" applyFill="1" applyBorder="1" applyAlignment="1">
      <alignment horizontal="center" vertical="center"/>
    </xf>
    <xf numFmtId="2" fontId="32" fillId="8" borderId="47" xfId="0" applyNumberFormat="1" applyFont="1" applyFill="1" applyBorder="1" applyAlignment="1">
      <alignment horizontal="center" vertical="center"/>
    </xf>
    <xf numFmtId="0" fontId="32" fillId="8" borderId="33" xfId="0" applyFont="1" applyFill="1" applyBorder="1" applyAlignment="1">
      <alignment horizontal="center"/>
    </xf>
    <xf numFmtId="3" fontId="32" fillId="8" borderId="50" xfId="0" applyNumberFormat="1" applyFont="1" applyFill="1" applyBorder="1" applyAlignment="1">
      <alignment horizontal="center" vertical="center"/>
    </xf>
    <xf numFmtId="3" fontId="32" fillId="8" borderId="33" xfId="0" applyNumberFormat="1" applyFont="1" applyFill="1" applyBorder="1" applyAlignment="1">
      <alignment horizontal="center" vertical="center"/>
    </xf>
    <xf numFmtId="0" fontId="32" fillId="8" borderId="50" xfId="0" applyFont="1" applyFill="1" applyBorder="1" applyAlignment="1">
      <alignment horizontal="center"/>
    </xf>
    <xf numFmtId="0" fontId="31" fillId="3" borderId="8" xfId="0" applyFont="1" applyFill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1" fontId="31" fillId="3" borderId="8" xfId="0" applyNumberFormat="1" applyFont="1" applyFill="1" applyBorder="1" applyAlignment="1">
      <alignment horizontal="center" vertical="center"/>
    </xf>
    <xf numFmtId="2" fontId="31" fillId="3" borderId="7" xfId="0" applyNumberFormat="1" applyFont="1" applyFill="1" applyBorder="1" applyAlignment="1">
      <alignment horizontal="center" vertical="center"/>
    </xf>
    <xf numFmtId="2" fontId="31" fillId="3" borderId="8" xfId="0" applyNumberFormat="1" applyFont="1" applyFill="1" applyBorder="1" applyAlignment="1">
      <alignment horizontal="center" vertical="center"/>
    </xf>
    <xf numFmtId="167" fontId="31" fillId="3" borderId="49" xfId="0" applyNumberFormat="1" applyFont="1" applyFill="1" applyBorder="1" applyAlignment="1" applyProtection="1">
      <alignment horizontal="center" vertical="center"/>
      <protection locked="0"/>
    </xf>
    <xf numFmtId="2" fontId="31" fillId="0" borderId="46" xfId="0" applyNumberFormat="1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3" fontId="31" fillId="9" borderId="8" xfId="0" applyNumberFormat="1" applyFont="1" applyFill="1" applyBorder="1" applyAlignment="1">
      <alignment horizontal="center" vertical="center"/>
    </xf>
    <xf numFmtId="0" fontId="31" fillId="0" borderId="7" xfId="0" applyFont="1" applyBorder="1" applyAlignment="1">
      <alignment horizontal="center"/>
    </xf>
    <xf numFmtId="0" fontId="32" fillId="8" borderId="8" xfId="0" applyFont="1" applyFill="1" applyBorder="1" applyAlignment="1">
      <alignment horizontal="center" vertical="center"/>
    </xf>
    <xf numFmtId="0" fontId="32" fillId="8" borderId="7" xfId="0" applyFont="1" applyFill="1" applyBorder="1" applyAlignment="1">
      <alignment horizontal="center" vertical="center"/>
    </xf>
    <xf numFmtId="1" fontId="32" fillId="8" borderId="8" xfId="0" applyNumberFormat="1" applyFont="1" applyFill="1" applyBorder="1" applyAlignment="1">
      <alignment horizontal="center" vertical="center"/>
    </xf>
    <xf numFmtId="2" fontId="32" fillId="8" borderId="7" xfId="0" applyNumberFormat="1" applyFont="1" applyFill="1" applyBorder="1" applyAlignment="1">
      <alignment horizontal="center" vertical="center"/>
    </xf>
    <xf numFmtId="2" fontId="32" fillId="8" borderId="8" xfId="0" applyNumberFormat="1" applyFont="1" applyFill="1" applyBorder="1" applyAlignment="1">
      <alignment horizontal="center" vertical="center"/>
    </xf>
    <xf numFmtId="167" fontId="32" fillId="8" borderId="49" xfId="0" applyNumberFormat="1" applyFont="1" applyFill="1" applyBorder="1" applyAlignment="1">
      <alignment horizontal="center" vertical="center"/>
    </xf>
    <xf numFmtId="2" fontId="32" fillId="8" borderId="46" xfId="0" applyNumberFormat="1" applyFont="1" applyFill="1" applyBorder="1" applyAlignment="1">
      <alignment horizontal="center" vertical="center"/>
    </xf>
    <xf numFmtId="3" fontId="33" fillId="8" borderId="8" xfId="0" applyNumberFormat="1" applyFont="1" applyFill="1" applyBorder="1" applyAlignment="1">
      <alignment horizontal="center" vertical="center"/>
    </xf>
    <xf numFmtId="0" fontId="32" fillId="8" borderId="7" xfId="0" applyFont="1" applyFill="1" applyBorder="1" applyAlignment="1">
      <alignment horizontal="center"/>
    </xf>
    <xf numFmtId="0" fontId="32" fillId="8" borderId="8" xfId="0" applyFont="1" applyFill="1" applyBorder="1" applyAlignment="1">
      <alignment horizontal="center"/>
    </xf>
    <xf numFmtId="0" fontId="25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4" fontId="8" fillId="5" borderId="3" xfId="0" applyNumberFormat="1" applyFont="1" applyFill="1" applyBorder="1" applyAlignment="1" applyProtection="1">
      <alignment horizontal="right" vertical="center"/>
      <protection locked="0"/>
    </xf>
    <xf numFmtId="0" fontId="34" fillId="0" borderId="5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2" fontId="34" fillId="0" borderId="4" xfId="0" applyNumberFormat="1" applyFont="1" applyBorder="1" applyAlignment="1">
      <alignment horizontal="center" vertical="center"/>
    </xf>
    <xf numFmtId="167" fontId="34" fillId="0" borderId="4" xfId="0" applyNumberFormat="1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165" fontId="34" fillId="0" borderId="4" xfId="0" applyNumberFormat="1" applyFont="1" applyBorder="1" applyAlignment="1">
      <alignment horizontal="center" vertical="center"/>
    </xf>
    <xf numFmtId="2" fontId="34" fillId="0" borderId="13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vertical="center"/>
    </xf>
    <xf numFmtId="2" fontId="34" fillId="0" borderId="0" xfId="0" applyNumberFormat="1" applyFont="1" applyAlignment="1">
      <alignment horizontal="center" vertical="center"/>
    </xf>
    <xf numFmtId="165" fontId="34" fillId="0" borderId="0" xfId="0" applyNumberFormat="1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3" fontId="0" fillId="0" borderId="0" xfId="0" applyNumberFormat="1" applyAlignment="1" applyProtection="1">
      <alignment vertical="center"/>
      <protection locked="0"/>
    </xf>
    <xf numFmtId="9" fontId="0" fillId="0" borderId="0" xfId="0" applyNumberFormat="1" applyAlignment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165" fontId="12" fillId="0" borderId="0" xfId="0" applyNumberFormat="1" applyFont="1" applyAlignment="1" applyProtection="1">
      <alignment horizontal="center" vertical="center"/>
      <protection locked="0"/>
    </xf>
    <xf numFmtId="0" fontId="18" fillId="10" borderId="18" xfId="0" applyFont="1" applyFill="1" applyBorder="1" applyAlignment="1">
      <alignment horizontal="center" vertical="center"/>
    </xf>
    <xf numFmtId="0" fontId="16" fillId="10" borderId="18" xfId="0" applyFont="1" applyFill="1" applyBorder="1" applyAlignment="1" applyProtection="1">
      <alignment horizontal="center" vertical="center"/>
      <protection locked="0"/>
    </xf>
    <xf numFmtId="0" fontId="37" fillId="10" borderId="18" xfId="0" applyFont="1" applyFill="1" applyBorder="1" applyAlignment="1" applyProtection="1">
      <alignment horizontal="center" vertical="center"/>
      <protection locked="0"/>
    </xf>
    <xf numFmtId="0" fontId="38" fillId="10" borderId="5" xfId="0" applyFont="1" applyFill="1" applyBorder="1" applyAlignment="1">
      <alignment horizontal="right" vertical="center"/>
    </xf>
    <xf numFmtId="0" fontId="38" fillId="10" borderId="3" xfId="0" applyFont="1" applyFill="1" applyBorder="1" applyAlignment="1">
      <alignment horizontal="right" vertical="center"/>
    </xf>
    <xf numFmtId="0" fontId="38" fillId="10" borderId="4" xfId="0" applyFont="1" applyFill="1" applyBorder="1" applyAlignment="1">
      <alignment horizontal="right" vertical="center"/>
    </xf>
    <xf numFmtId="2" fontId="38" fillId="10" borderId="4" xfId="0" applyNumberFormat="1" applyFont="1" applyFill="1" applyBorder="1" applyAlignment="1">
      <alignment horizontal="center" vertical="center"/>
    </xf>
    <xf numFmtId="0" fontId="39" fillId="10" borderId="3" xfId="0" applyFont="1" applyFill="1" applyBorder="1"/>
    <xf numFmtId="167" fontId="38" fillId="10" borderId="4" xfId="0" applyNumberFormat="1" applyFont="1" applyFill="1" applyBorder="1" applyAlignment="1">
      <alignment horizontal="center"/>
    </xf>
    <xf numFmtId="0" fontId="38" fillId="10" borderId="4" xfId="0" applyFont="1" applyFill="1" applyBorder="1" applyAlignment="1">
      <alignment horizontal="center"/>
    </xf>
    <xf numFmtId="0" fontId="38" fillId="10" borderId="3" xfId="0" applyFont="1" applyFill="1" applyBorder="1" applyAlignment="1">
      <alignment horizontal="center"/>
    </xf>
    <xf numFmtId="165" fontId="38" fillId="10" borderId="4" xfId="0" applyNumberFormat="1" applyFont="1" applyFill="1" applyBorder="1" applyAlignment="1">
      <alignment horizontal="center" vertical="center"/>
    </xf>
    <xf numFmtId="0" fontId="39" fillId="10" borderId="3" xfId="0" applyFont="1" applyFill="1" applyBorder="1" applyAlignment="1">
      <alignment horizontal="center" vertical="center"/>
    </xf>
    <xf numFmtId="0" fontId="39" fillId="10" borderId="3" xfId="0" applyFont="1" applyFill="1" applyBorder="1" applyAlignment="1">
      <alignment vertical="center"/>
    </xf>
    <xf numFmtId="167" fontId="38" fillId="10" borderId="4" xfId="0" applyNumberFormat="1" applyFont="1" applyFill="1" applyBorder="1" applyAlignment="1">
      <alignment horizontal="center" vertical="center"/>
    </xf>
    <xf numFmtId="0" fontId="38" fillId="10" borderId="4" xfId="0" applyFont="1" applyFill="1" applyBorder="1" applyAlignment="1">
      <alignment horizontal="center" vertical="center"/>
    </xf>
    <xf numFmtId="0" fontId="38" fillId="10" borderId="3" xfId="0" applyFont="1" applyFill="1" applyBorder="1" applyAlignment="1">
      <alignment horizontal="center" vertical="center"/>
    </xf>
    <xf numFmtId="0" fontId="38" fillId="10" borderId="5" xfId="0" applyFont="1" applyFill="1" applyBorder="1" applyAlignment="1">
      <alignment horizontal="center" vertical="center"/>
    </xf>
    <xf numFmtId="0" fontId="39" fillId="10" borderId="4" xfId="0" applyFont="1" applyFill="1" applyBorder="1" applyAlignment="1">
      <alignment horizontal="center" vertical="center"/>
    </xf>
    <xf numFmtId="2" fontId="38" fillId="10" borderId="4" xfId="0" applyNumberFormat="1" applyFont="1" applyFill="1" applyBorder="1" applyAlignment="1">
      <alignment horizontal="center"/>
    </xf>
    <xf numFmtId="165" fontId="38" fillId="10" borderId="4" xfId="0" applyNumberFormat="1" applyFont="1" applyFill="1" applyBorder="1" applyAlignment="1">
      <alignment horizontal="center"/>
    </xf>
    <xf numFmtId="165" fontId="39" fillId="10" borderId="3" xfId="2" applyNumberFormat="1" applyFont="1" applyFill="1" applyBorder="1" applyAlignment="1">
      <alignment horizontal="center" vertical="center"/>
    </xf>
    <xf numFmtId="0" fontId="40" fillId="10" borderId="5" xfId="0" applyFont="1" applyFill="1" applyBorder="1" applyAlignment="1">
      <alignment horizontal="right" vertical="center"/>
    </xf>
    <xf numFmtId="0" fontId="40" fillId="10" borderId="3" xfId="0" applyFont="1" applyFill="1" applyBorder="1" applyAlignment="1">
      <alignment horizontal="right" vertical="center"/>
    </xf>
    <xf numFmtId="0" fontId="40" fillId="10" borderId="4" xfId="0" applyFont="1" applyFill="1" applyBorder="1" applyAlignment="1">
      <alignment horizontal="right" vertical="center"/>
    </xf>
    <xf numFmtId="2" fontId="40" fillId="10" borderId="4" xfId="0" applyNumberFormat="1" applyFont="1" applyFill="1" applyBorder="1" applyAlignment="1">
      <alignment horizontal="center" vertical="center"/>
    </xf>
    <xf numFmtId="0" fontId="41" fillId="10" borderId="3" xfId="0" applyFont="1" applyFill="1" applyBorder="1"/>
    <xf numFmtId="167" fontId="40" fillId="10" borderId="4" xfId="0" applyNumberFormat="1" applyFont="1" applyFill="1" applyBorder="1" applyAlignment="1">
      <alignment horizontal="center"/>
    </xf>
    <xf numFmtId="0" fontId="40" fillId="10" borderId="4" xfId="0" applyFont="1" applyFill="1" applyBorder="1" applyAlignment="1">
      <alignment horizontal="center"/>
    </xf>
    <xf numFmtId="0" fontId="40" fillId="10" borderId="3" xfId="0" applyFont="1" applyFill="1" applyBorder="1" applyAlignment="1">
      <alignment horizontal="center"/>
    </xf>
    <xf numFmtId="165" fontId="40" fillId="10" borderId="4" xfId="0" applyNumberFormat="1" applyFont="1" applyFill="1" applyBorder="1" applyAlignment="1">
      <alignment horizontal="center" vertical="center"/>
    </xf>
    <xf numFmtId="0" fontId="41" fillId="10" borderId="3" xfId="0" applyFont="1" applyFill="1" applyBorder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34" fillId="0" borderId="3" xfId="0" applyFont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center" vertical="center" wrapText="1"/>
      <protection locked="0"/>
    </xf>
    <xf numFmtId="0" fontId="34" fillId="8" borderId="11" xfId="0" applyFont="1" applyFill="1" applyBorder="1" applyAlignment="1" applyProtection="1">
      <alignment horizontal="center" vertical="center" wrapText="1"/>
      <protection locked="0"/>
    </xf>
    <xf numFmtId="0" fontId="34" fillId="0" borderId="34" xfId="0" applyFont="1" applyBorder="1" applyAlignment="1" applyProtection="1">
      <alignment horizontal="center" vertical="center" wrapText="1"/>
      <protection locked="0"/>
    </xf>
    <xf numFmtId="0" fontId="34" fillId="9" borderId="3" xfId="0" applyFont="1" applyFill="1" applyBorder="1" applyAlignment="1" applyProtection="1">
      <alignment horizontal="center" vertical="center" wrapText="1"/>
      <protection locked="0"/>
    </xf>
    <xf numFmtId="0" fontId="0" fillId="10" borderId="5" xfId="0" applyFill="1" applyBorder="1" applyProtection="1">
      <protection locked="0"/>
    </xf>
    <xf numFmtId="0" fontId="0" fillId="10" borderId="4" xfId="0" applyFill="1" applyBorder="1" applyProtection="1">
      <protection locked="0"/>
    </xf>
    <xf numFmtId="0" fontId="0" fillId="10" borderId="18" xfId="0" applyFill="1" applyBorder="1" applyProtection="1">
      <protection locked="0"/>
    </xf>
    <xf numFmtId="0" fontId="30" fillId="8" borderId="6" xfId="0" applyFont="1" applyFill="1" applyBorder="1" applyAlignment="1">
      <alignment horizontal="center" vertical="center"/>
    </xf>
    <xf numFmtId="0" fontId="30" fillId="8" borderId="39" xfId="0" applyFont="1" applyFill="1" applyBorder="1" applyAlignment="1">
      <alignment horizontal="center" vertical="center"/>
    </xf>
    <xf numFmtId="0" fontId="30" fillId="8" borderId="39" xfId="0" applyFont="1" applyFill="1" applyBorder="1" applyAlignment="1">
      <alignment horizontal="center"/>
    </xf>
    <xf numFmtId="0" fontId="30" fillId="8" borderId="6" xfId="0" applyFont="1" applyFill="1" applyBorder="1" applyAlignment="1">
      <alignment horizontal="center"/>
    </xf>
    <xf numFmtId="2" fontId="31" fillId="8" borderId="39" xfId="0" applyNumberFormat="1" applyFont="1" applyFill="1" applyBorder="1" applyAlignment="1">
      <alignment horizontal="center" vertical="center"/>
    </xf>
    <xf numFmtId="2" fontId="31" fillId="8" borderId="6" xfId="0" applyNumberFormat="1" applyFont="1" applyFill="1" applyBorder="1" applyAlignment="1">
      <alignment horizontal="center" vertical="center"/>
    </xf>
    <xf numFmtId="167" fontId="31" fillId="8" borderId="37" xfId="0" applyNumberFormat="1" applyFont="1" applyFill="1" applyBorder="1" applyAlignment="1" applyProtection="1">
      <alignment horizontal="center" vertical="center"/>
      <protection locked="0"/>
    </xf>
    <xf numFmtId="0" fontId="30" fillId="8" borderId="41" xfId="0" applyFont="1" applyFill="1" applyBorder="1" applyAlignment="1">
      <alignment horizontal="center" vertical="center"/>
    </xf>
    <xf numFmtId="0" fontId="31" fillId="8" borderId="6" xfId="0" applyFont="1" applyFill="1" applyBorder="1" applyAlignment="1">
      <alignment horizontal="center" vertical="center"/>
    </xf>
    <xf numFmtId="3" fontId="28" fillId="8" borderId="39" xfId="0" applyNumberFormat="1" applyFont="1" applyFill="1" applyBorder="1" applyAlignment="1">
      <alignment horizontal="center" vertical="center"/>
    </xf>
    <xf numFmtId="3" fontId="31" fillId="8" borderId="6" xfId="0" applyNumberFormat="1" applyFont="1" applyFill="1" applyBorder="1" applyAlignment="1">
      <alignment horizontal="center" vertical="center"/>
    </xf>
    <xf numFmtId="0" fontId="16" fillId="8" borderId="0" xfId="0" applyFont="1" applyFill="1" applyAlignment="1" applyProtection="1">
      <alignment horizontal="center" vertical="center"/>
      <protection locked="0"/>
    </xf>
    <xf numFmtId="0" fontId="2" fillId="8" borderId="0" xfId="0" applyFont="1" applyFill="1" applyAlignment="1" applyProtection="1">
      <alignment horizontal="center"/>
      <protection locked="0"/>
    </xf>
    <xf numFmtId="0" fontId="0" fillId="8" borderId="0" xfId="0" applyFill="1" applyProtection="1">
      <protection locked="0"/>
    </xf>
    <xf numFmtId="3" fontId="8" fillId="8" borderId="0" xfId="0" applyNumberFormat="1" applyFont="1" applyFill="1" applyProtection="1">
      <protection locked="0"/>
    </xf>
    <xf numFmtId="0" fontId="30" fillId="8" borderId="9" xfId="0" applyFont="1" applyFill="1" applyBorder="1" applyAlignment="1">
      <alignment horizontal="center" vertical="center"/>
    </xf>
    <xf numFmtId="0" fontId="30" fillId="8" borderId="40" xfId="0" applyFont="1" applyFill="1" applyBorder="1" applyAlignment="1">
      <alignment horizontal="center" vertical="center"/>
    </xf>
    <xf numFmtId="0" fontId="30" fillId="8" borderId="40" xfId="0" applyFont="1" applyFill="1" applyBorder="1" applyAlignment="1">
      <alignment horizontal="center"/>
    </xf>
    <xf numFmtId="0" fontId="30" fillId="8" borderId="9" xfId="0" applyFont="1" applyFill="1" applyBorder="1" applyAlignment="1">
      <alignment horizontal="center"/>
    </xf>
    <xf numFmtId="2" fontId="31" fillId="8" borderId="40" xfId="0" applyNumberFormat="1" applyFont="1" applyFill="1" applyBorder="1" applyAlignment="1">
      <alignment horizontal="center" vertical="center"/>
    </xf>
    <xf numFmtId="2" fontId="31" fillId="8" borderId="9" xfId="0" applyNumberFormat="1" applyFont="1" applyFill="1" applyBorder="1" applyAlignment="1">
      <alignment horizontal="center" vertical="center"/>
    </xf>
    <xf numFmtId="167" fontId="31" fillId="8" borderId="38" xfId="0" applyNumberFormat="1" applyFont="1" applyFill="1" applyBorder="1" applyAlignment="1" applyProtection="1">
      <alignment horizontal="center" vertical="center"/>
      <protection locked="0"/>
    </xf>
    <xf numFmtId="0" fontId="30" fillId="8" borderId="42" xfId="0" applyFont="1" applyFill="1" applyBorder="1" applyAlignment="1">
      <alignment horizontal="center" vertical="center"/>
    </xf>
    <xf numFmtId="0" fontId="31" fillId="8" borderId="9" xfId="0" applyFont="1" applyFill="1" applyBorder="1" applyAlignment="1">
      <alignment horizontal="center" vertical="center"/>
    </xf>
    <xf numFmtId="3" fontId="28" fillId="8" borderId="40" xfId="0" applyNumberFormat="1" applyFont="1" applyFill="1" applyBorder="1" applyAlignment="1">
      <alignment horizontal="center" vertical="center"/>
    </xf>
    <xf numFmtId="3" fontId="31" fillId="8" borderId="9" xfId="0" applyNumberFormat="1" applyFont="1" applyFill="1" applyBorder="1" applyAlignment="1">
      <alignment horizontal="center" vertical="center"/>
    </xf>
    <xf numFmtId="0" fontId="30" fillId="8" borderId="42" xfId="0" applyFont="1" applyFill="1" applyBorder="1" applyAlignment="1">
      <alignment horizontal="center"/>
    </xf>
    <xf numFmtId="0" fontId="31" fillId="8" borderId="40" xfId="0" applyFont="1" applyFill="1" applyBorder="1" applyAlignment="1">
      <alignment horizontal="center" vertical="center"/>
    </xf>
    <xf numFmtId="0" fontId="31" fillId="8" borderId="40" xfId="0" applyFont="1" applyFill="1" applyBorder="1" applyAlignment="1">
      <alignment horizontal="center"/>
    </xf>
    <xf numFmtId="0" fontId="31" fillId="8" borderId="9" xfId="0" applyFont="1" applyFill="1" applyBorder="1" applyAlignment="1">
      <alignment horizontal="center"/>
    </xf>
    <xf numFmtId="0" fontId="31" fillId="8" borderId="42" xfId="0" applyFont="1" applyFill="1" applyBorder="1" applyAlignment="1">
      <alignment horizontal="center" vertical="center"/>
    </xf>
    <xf numFmtId="0" fontId="1" fillId="8" borderId="0" xfId="0" applyFont="1" applyFill="1" applyAlignment="1" applyProtection="1">
      <alignment horizontal="center"/>
      <protection locked="0"/>
    </xf>
    <xf numFmtId="0" fontId="30" fillId="8" borderId="33" xfId="0" applyFont="1" applyFill="1" applyBorder="1" applyAlignment="1">
      <alignment horizontal="center" vertical="center"/>
    </xf>
    <xf numFmtId="0" fontId="30" fillId="8" borderId="50" xfId="0" applyFont="1" applyFill="1" applyBorder="1" applyAlignment="1">
      <alignment horizontal="center" vertical="center"/>
    </xf>
    <xf numFmtId="0" fontId="30" fillId="8" borderId="50" xfId="0" applyFont="1" applyFill="1" applyBorder="1" applyAlignment="1">
      <alignment horizontal="center"/>
    </xf>
    <xf numFmtId="0" fontId="30" fillId="8" borderId="33" xfId="0" applyFont="1" applyFill="1" applyBorder="1" applyAlignment="1">
      <alignment horizontal="center"/>
    </xf>
    <xf numFmtId="2" fontId="30" fillId="8" borderId="50" xfId="0" applyNumberFormat="1" applyFont="1" applyFill="1" applyBorder="1" applyAlignment="1">
      <alignment horizontal="center" vertical="center"/>
    </xf>
    <xf numFmtId="2" fontId="30" fillId="8" borderId="33" xfId="0" applyNumberFormat="1" applyFont="1" applyFill="1" applyBorder="1" applyAlignment="1">
      <alignment horizontal="center" vertical="center"/>
    </xf>
    <xf numFmtId="167" fontId="30" fillId="8" borderId="48" xfId="0" applyNumberFormat="1" applyFont="1" applyFill="1" applyBorder="1" applyAlignment="1" applyProtection="1">
      <alignment horizontal="center" vertical="center"/>
      <protection locked="0"/>
    </xf>
    <xf numFmtId="0" fontId="30" fillId="8" borderId="47" xfId="0" applyFont="1" applyFill="1" applyBorder="1" applyAlignment="1">
      <alignment horizontal="center"/>
    </xf>
    <xf numFmtId="3" fontId="28" fillId="8" borderId="50" xfId="0" applyNumberFormat="1" applyFont="1" applyFill="1" applyBorder="1" applyAlignment="1">
      <alignment horizontal="center" vertical="center"/>
    </xf>
    <xf numFmtId="3" fontId="31" fillId="8" borderId="33" xfId="0" applyNumberFormat="1" applyFont="1" applyFill="1" applyBorder="1" applyAlignment="1">
      <alignment horizontal="center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7" xfId="0" applyFont="1" applyFill="1" applyBorder="1" applyAlignment="1">
      <alignment horizontal="center" vertical="center"/>
    </xf>
    <xf numFmtId="0" fontId="31" fillId="8" borderId="8" xfId="0" applyFont="1" applyFill="1" applyBorder="1" applyAlignment="1">
      <alignment horizontal="center" vertical="center"/>
    </xf>
    <xf numFmtId="0" fontId="31" fillId="8" borderId="7" xfId="0" applyFont="1" applyFill="1" applyBorder="1" applyAlignment="1">
      <alignment horizontal="center" vertical="center"/>
    </xf>
    <xf numFmtId="1" fontId="31" fillId="8" borderId="8" xfId="0" applyNumberFormat="1" applyFont="1" applyFill="1" applyBorder="1" applyAlignment="1">
      <alignment horizontal="center" vertical="center"/>
    </xf>
    <xf numFmtId="2" fontId="31" fillId="8" borderId="7" xfId="0" applyNumberFormat="1" applyFont="1" applyFill="1" applyBorder="1" applyAlignment="1">
      <alignment horizontal="center" vertical="center"/>
    </xf>
    <xf numFmtId="2" fontId="31" fillId="8" borderId="8" xfId="0" applyNumberFormat="1" applyFont="1" applyFill="1" applyBorder="1" applyAlignment="1">
      <alignment horizontal="center" vertical="center"/>
    </xf>
    <xf numFmtId="167" fontId="31" fillId="8" borderId="49" xfId="0" applyNumberFormat="1" applyFont="1" applyFill="1" applyBorder="1" applyAlignment="1" applyProtection="1">
      <alignment horizontal="center" vertical="center"/>
      <protection locked="0"/>
    </xf>
    <xf numFmtId="0" fontId="30" fillId="8" borderId="46" xfId="0" applyFont="1" applyFill="1" applyBorder="1" applyAlignment="1">
      <alignment horizontal="center" vertical="center"/>
    </xf>
    <xf numFmtId="3" fontId="28" fillId="8" borderId="7" xfId="0" applyNumberFormat="1" applyFont="1" applyFill="1" applyBorder="1" applyAlignment="1">
      <alignment horizontal="center" vertical="center"/>
    </xf>
    <xf numFmtId="3" fontId="31" fillId="8" borderId="8" xfId="0" applyNumberFormat="1" applyFont="1" applyFill="1" applyBorder="1" applyAlignment="1">
      <alignment horizontal="center" vertical="center"/>
    </xf>
    <xf numFmtId="1" fontId="31" fillId="8" borderId="9" xfId="0" applyNumberFormat="1" applyFont="1" applyFill="1" applyBorder="1" applyAlignment="1">
      <alignment horizontal="center" vertical="center"/>
    </xf>
    <xf numFmtId="1" fontId="30" fillId="8" borderId="33" xfId="0" applyNumberFormat="1" applyFont="1" applyFill="1" applyBorder="1" applyAlignment="1">
      <alignment horizontal="center" vertical="center"/>
    </xf>
    <xf numFmtId="0" fontId="2" fillId="8" borderId="0" xfId="0" applyFont="1" applyFill="1" applyAlignment="1" applyProtection="1">
      <alignment horizontal="center" vertical="center"/>
      <protection locked="0"/>
    </xf>
    <xf numFmtId="0" fontId="30" fillId="8" borderId="7" xfId="0" applyFont="1" applyFill="1" applyBorder="1" applyAlignment="1">
      <alignment horizontal="center"/>
    </xf>
    <xf numFmtId="0" fontId="0" fillId="8" borderId="0" xfId="0" applyFill="1" applyAlignment="1" applyProtection="1">
      <alignment vertical="center"/>
      <protection locked="0"/>
    </xf>
    <xf numFmtId="2" fontId="31" fillId="8" borderId="42" xfId="0" applyNumberFormat="1" applyFont="1" applyFill="1" applyBorder="1" applyAlignment="1">
      <alignment horizontal="center" vertical="center"/>
    </xf>
    <xf numFmtId="0" fontId="13" fillId="8" borderId="0" xfId="0" applyFont="1" applyFill="1" applyAlignment="1" applyProtection="1">
      <alignment horizontal="center"/>
      <protection locked="0"/>
    </xf>
    <xf numFmtId="0" fontId="31" fillId="8" borderId="33" xfId="0" applyFont="1" applyFill="1" applyBorder="1" applyAlignment="1">
      <alignment horizontal="center" vertical="center"/>
    </xf>
    <xf numFmtId="0" fontId="31" fillId="8" borderId="50" xfId="0" applyFont="1" applyFill="1" applyBorder="1" applyAlignment="1">
      <alignment horizontal="center" vertical="center"/>
    </xf>
    <xf numFmtId="1" fontId="31" fillId="8" borderId="33" xfId="0" applyNumberFormat="1" applyFont="1" applyFill="1" applyBorder="1" applyAlignment="1">
      <alignment horizontal="center" vertical="center"/>
    </xf>
    <xf numFmtId="2" fontId="31" fillId="8" borderId="50" xfId="0" applyNumberFormat="1" applyFont="1" applyFill="1" applyBorder="1" applyAlignment="1">
      <alignment horizontal="center" vertical="center"/>
    </xf>
    <xf numFmtId="2" fontId="31" fillId="8" borderId="33" xfId="0" applyNumberFormat="1" applyFont="1" applyFill="1" applyBorder="1" applyAlignment="1">
      <alignment horizontal="center" vertical="center"/>
    </xf>
    <xf numFmtId="167" fontId="31" fillId="8" borderId="48" xfId="0" applyNumberFormat="1" applyFont="1" applyFill="1" applyBorder="1" applyAlignment="1" applyProtection="1">
      <alignment horizontal="center" vertical="center"/>
      <protection locked="0"/>
    </xf>
    <xf numFmtId="2" fontId="31" fillId="8" borderId="47" xfId="0" applyNumberFormat="1" applyFont="1" applyFill="1" applyBorder="1" applyAlignment="1">
      <alignment horizontal="center" vertical="center"/>
    </xf>
    <xf numFmtId="2" fontId="31" fillId="8" borderId="46" xfId="0" applyNumberFormat="1" applyFont="1" applyFill="1" applyBorder="1" applyAlignment="1">
      <alignment horizontal="center" vertical="center"/>
    </xf>
    <xf numFmtId="0" fontId="31" fillId="8" borderId="7" xfId="0" applyFont="1" applyFill="1" applyBorder="1" applyAlignment="1">
      <alignment horizontal="center"/>
    </xf>
    <xf numFmtId="0" fontId="31" fillId="8" borderId="50" xfId="0" applyFont="1" applyFill="1" applyBorder="1" applyAlignment="1">
      <alignment horizontal="center"/>
    </xf>
    <xf numFmtId="0" fontId="0" fillId="5" borderId="0" xfId="0" applyFill="1" applyProtection="1">
      <protection locked="0"/>
    </xf>
    <xf numFmtId="3" fontId="8" fillId="5" borderId="0" xfId="0" applyNumberFormat="1" applyFont="1" applyFill="1" applyProtection="1"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13" fillId="8" borderId="0" xfId="0" applyFont="1" applyFill="1" applyAlignment="1" applyProtection="1">
      <alignment horizontal="center" vertical="center"/>
      <protection locked="0"/>
    </xf>
    <xf numFmtId="0" fontId="43" fillId="8" borderId="0" xfId="0" applyFont="1" applyFill="1" applyAlignment="1" applyProtection="1">
      <alignment horizontal="center" vertical="center"/>
      <protection locked="0"/>
    </xf>
    <xf numFmtId="0" fontId="22" fillId="8" borderId="0" xfId="0" applyFont="1" applyFill="1" applyProtection="1">
      <protection locked="0"/>
    </xf>
    <xf numFmtId="3" fontId="44" fillId="8" borderId="0" xfId="0" applyNumberFormat="1" applyFont="1" applyFill="1" applyProtection="1">
      <protection locked="0"/>
    </xf>
    <xf numFmtId="1" fontId="30" fillId="8" borderId="8" xfId="0" applyNumberFormat="1" applyFont="1" applyFill="1" applyBorder="1" applyAlignment="1">
      <alignment horizontal="center" vertical="center"/>
    </xf>
    <xf numFmtId="2" fontId="30" fillId="8" borderId="7" xfId="0" applyNumberFormat="1" applyFont="1" applyFill="1" applyBorder="1" applyAlignment="1">
      <alignment horizontal="center" vertical="center"/>
    </xf>
    <xf numFmtId="2" fontId="30" fillId="8" borderId="8" xfId="0" applyNumberFormat="1" applyFont="1" applyFill="1" applyBorder="1" applyAlignment="1">
      <alignment horizontal="center" vertical="center"/>
    </xf>
    <xf numFmtId="167" fontId="30" fillId="8" borderId="49" xfId="0" applyNumberFormat="1" applyFont="1" applyFill="1" applyBorder="1" applyAlignment="1" applyProtection="1">
      <alignment horizontal="center" vertical="center"/>
      <protection locked="0"/>
    </xf>
    <xf numFmtId="2" fontId="30" fillId="8" borderId="46" xfId="0" applyNumberFormat="1" applyFont="1" applyFill="1" applyBorder="1" applyAlignment="1">
      <alignment horizontal="center" vertical="center"/>
    </xf>
    <xf numFmtId="3" fontId="29" fillId="8" borderId="7" xfId="0" applyNumberFormat="1" applyFont="1" applyFill="1" applyBorder="1" applyAlignment="1">
      <alignment horizontal="center" vertical="center"/>
    </xf>
    <xf numFmtId="3" fontId="30" fillId="8" borderId="8" xfId="0" applyNumberFormat="1" applyFont="1" applyFill="1" applyBorder="1" applyAlignment="1">
      <alignment horizontal="center" vertical="center"/>
    </xf>
    <xf numFmtId="0" fontId="31" fillId="8" borderId="8" xfId="0" applyFont="1" applyFill="1" applyBorder="1" applyAlignment="1">
      <alignment horizontal="center"/>
    </xf>
    <xf numFmtId="0" fontId="31" fillId="8" borderId="42" xfId="0" applyFont="1" applyFill="1" applyBorder="1" applyAlignment="1">
      <alignment horizontal="center"/>
    </xf>
    <xf numFmtId="1" fontId="30" fillId="8" borderId="9" xfId="0" applyNumberFormat="1" applyFont="1" applyFill="1" applyBorder="1" applyAlignment="1">
      <alignment horizontal="center" vertical="center"/>
    </xf>
    <xf numFmtId="2" fontId="30" fillId="8" borderId="40" xfId="0" applyNumberFormat="1" applyFont="1" applyFill="1" applyBorder="1" applyAlignment="1">
      <alignment horizontal="center" vertical="center"/>
    </xf>
    <xf numFmtId="2" fontId="30" fillId="8" borderId="9" xfId="0" applyNumberFormat="1" applyFont="1" applyFill="1" applyBorder="1" applyAlignment="1">
      <alignment horizontal="center" vertical="center"/>
    </xf>
    <xf numFmtId="167" fontId="30" fillId="8" borderId="38" xfId="0" applyNumberFormat="1" applyFont="1" applyFill="1" applyBorder="1" applyAlignment="1" applyProtection="1">
      <alignment horizontal="center" vertical="center"/>
      <protection locked="0"/>
    </xf>
    <xf numFmtId="2" fontId="30" fillId="8" borderId="42" xfId="0" applyNumberFormat="1" applyFont="1" applyFill="1" applyBorder="1" applyAlignment="1">
      <alignment horizontal="center" vertical="center"/>
    </xf>
    <xf numFmtId="3" fontId="29" fillId="8" borderId="40" xfId="0" applyNumberFormat="1" applyFont="1" applyFill="1" applyBorder="1" applyAlignment="1">
      <alignment horizontal="center" vertical="center"/>
    </xf>
    <xf numFmtId="3" fontId="30" fillId="8" borderId="9" xfId="0" applyNumberFormat="1" applyFont="1" applyFill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8" fillId="0" borderId="0" xfId="0" applyFont="1" applyAlignment="1" applyProtection="1">
      <alignment horizontal="right" vertical="center"/>
      <protection locked="0"/>
    </xf>
    <xf numFmtId="0" fontId="38" fillId="10" borderId="4" xfId="0" applyFont="1" applyFill="1" applyBorder="1" applyAlignment="1">
      <alignment horizontal="left" vertical="center"/>
    </xf>
    <xf numFmtId="0" fontId="29" fillId="0" borderId="14" xfId="0" applyFont="1" applyBorder="1" applyAlignment="1">
      <alignment horizontal="center" vertical="center"/>
    </xf>
    <xf numFmtId="0" fontId="36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29" fillId="0" borderId="17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5" fillId="0" borderId="0" xfId="0" applyFont="1" applyAlignment="1" applyProtection="1">
      <alignment horizontal="center" vertical="center"/>
      <protection locked="0"/>
    </xf>
    <xf numFmtId="0" fontId="29" fillId="0" borderId="15" xfId="0" applyFont="1" applyBorder="1" applyAlignment="1" applyProtection="1">
      <alignment horizontal="center" vertical="center"/>
      <protection locked="0"/>
    </xf>
    <xf numFmtId="0" fontId="29" fillId="0" borderId="12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  <xf numFmtId="0" fontId="23" fillId="8" borderId="4" xfId="0" applyFont="1" applyFill="1" applyBorder="1" applyAlignment="1">
      <alignment horizontal="center" vertical="center"/>
    </xf>
    <xf numFmtId="0" fontId="23" fillId="8" borderId="18" xfId="0" applyFont="1" applyFill="1" applyBorder="1" applyAlignment="1">
      <alignment horizontal="center" vertical="center"/>
    </xf>
    <xf numFmtId="0" fontId="23" fillId="8" borderId="15" xfId="0" applyFont="1" applyFill="1" applyBorder="1" applyAlignment="1">
      <alignment horizontal="center" vertical="center"/>
    </xf>
    <xf numFmtId="0" fontId="23" fillId="8" borderId="16" xfId="0" applyFont="1" applyFill="1" applyBorder="1" applyAlignment="1">
      <alignment horizontal="center" vertical="center"/>
    </xf>
    <xf numFmtId="0" fontId="23" fillId="8" borderId="19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24" fillId="5" borderId="0" xfId="0" applyFont="1" applyFill="1" applyAlignment="1">
      <alignment horizontal="center"/>
    </xf>
    <xf numFmtId="0" fontId="31" fillId="5" borderId="9" xfId="0" applyFont="1" applyFill="1" applyBorder="1" applyAlignment="1">
      <alignment horizontal="center" vertical="center"/>
    </xf>
    <xf numFmtId="0" fontId="30" fillId="5" borderId="40" xfId="0" applyFont="1" applyFill="1" applyBorder="1" applyAlignment="1">
      <alignment horizontal="center" vertical="center"/>
    </xf>
    <xf numFmtId="0" fontId="31" fillId="5" borderId="40" xfId="0" applyFont="1" applyFill="1" applyBorder="1" applyAlignment="1">
      <alignment horizontal="center" vertical="center"/>
    </xf>
    <xf numFmtId="1" fontId="31" fillId="5" borderId="9" xfId="0" applyNumberFormat="1" applyFont="1" applyFill="1" applyBorder="1" applyAlignment="1">
      <alignment horizontal="center" vertical="center"/>
    </xf>
    <xf numFmtId="2" fontId="31" fillId="5" borderId="40" xfId="0" applyNumberFormat="1" applyFont="1" applyFill="1" applyBorder="1" applyAlignment="1">
      <alignment horizontal="center" vertical="center"/>
    </xf>
    <xf numFmtId="2" fontId="31" fillId="5" borderId="9" xfId="0" applyNumberFormat="1" applyFont="1" applyFill="1" applyBorder="1" applyAlignment="1">
      <alignment horizontal="center" vertical="center"/>
    </xf>
    <xf numFmtId="167" fontId="31" fillId="5" borderId="38" xfId="0" applyNumberFormat="1" applyFont="1" applyFill="1" applyBorder="1" applyAlignment="1" applyProtection="1">
      <alignment horizontal="center" vertical="center"/>
      <protection locked="0"/>
    </xf>
    <xf numFmtId="2" fontId="31" fillId="5" borderId="42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/>
    </xf>
    <xf numFmtId="3" fontId="28" fillId="5" borderId="40" xfId="0" applyNumberFormat="1" applyFont="1" applyFill="1" applyBorder="1" applyAlignment="1">
      <alignment horizontal="center" vertical="center"/>
    </xf>
    <xf numFmtId="3" fontId="31" fillId="5" borderId="9" xfId="0" applyNumberFormat="1" applyFont="1" applyFill="1" applyBorder="1" applyAlignment="1">
      <alignment horizontal="center" vertical="center"/>
    </xf>
    <xf numFmtId="0" fontId="30" fillId="5" borderId="40" xfId="0" applyFont="1" applyFill="1" applyBorder="1" applyAlignment="1">
      <alignment horizontal="center"/>
    </xf>
    <xf numFmtId="0" fontId="16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13" fillId="5" borderId="0" xfId="0" applyFont="1" applyFill="1" applyAlignment="1" applyProtection="1">
      <alignment horizontal="center"/>
      <protection locked="0"/>
    </xf>
    <xf numFmtId="0" fontId="31" fillId="5" borderId="40" xfId="0" applyFont="1" applyFill="1" applyBorder="1" applyAlignment="1">
      <alignment horizontal="center"/>
    </xf>
    <xf numFmtId="0" fontId="31" fillId="5" borderId="33" xfId="0" applyFont="1" applyFill="1" applyBorder="1" applyAlignment="1">
      <alignment horizontal="center" vertical="center"/>
    </xf>
    <xf numFmtId="0" fontId="30" fillId="5" borderId="50" xfId="0" applyFont="1" applyFill="1" applyBorder="1" applyAlignment="1">
      <alignment horizontal="center" vertical="center"/>
    </xf>
    <xf numFmtId="0" fontId="31" fillId="5" borderId="50" xfId="0" applyFont="1" applyFill="1" applyBorder="1" applyAlignment="1">
      <alignment horizontal="center" vertical="center"/>
    </xf>
    <xf numFmtId="1" fontId="31" fillId="5" borderId="33" xfId="0" applyNumberFormat="1" applyFont="1" applyFill="1" applyBorder="1" applyAlignment="1">
      <alignment horizontal="center" vertical="center"/>
    </xf>
    <xf numFmtId="2" fontId="31" fillId="5" borderId="50" xfId="0" applyNumberFormat="1" applyFont="1" applyFill="1" applyBorder="1" applyAlignment="1">
      <alignment horizontal="center" vertical="center"/>
    </xf>
    <xf numFmtId="2" fontId="31" fillId="5" borderId="33" xfId="0" applyNumberFormat="1" applyFont="1" applyFill="1" applyBorder="1" applyAlignment="1">
      <alignment horizontal="center" vertical="center"/>
    </xf>
    <xf numFmtId="167" fontId="31" fillId="5" borderId="48" xfId="0" applyNumberFormat="1" applyFont="1" applyFill="1" applyBorder="1" applyAlignment="1" applyProtection="1">
      <alignment horizontal="center" vertical="center"/>
      <protection locked="0"/>
    </xf>
    <xf numFmtId="2" fontId="31" fillId="5" borderId="47" xfId="0" applyNumberFormat="1" applyFont="1" applyFill="1" applyBorder="1" applyAlignment="1">
      <alignment horizontal="center" vertical="center"/>
    </xf>
    <xf numFmtId="0" fontId="30" fillId="5" borderId="33" xfId="0" applyFont="1" applyFill="1" applyBorder="1" applyAlignment="1">
      <alignment horizontal="center" vertical="center"/>
    </xf>
    <xf numFmtId="3" fontId="28" fillId="5" borderId="50" xfId="0" applyNumberFormat="1" applyFont="1" applyFill="1" applyBorder="1" applyAlignment="1">
      <alignment horizontal="center" vertical="center"/>
    </xf>
    <xf numFmtId="3" fontId="31" fillId="5" borderId="33" xfId="0" applyNumberFormat="1" applyFont="1" applyFill="1" applyBorder="1" applyAlignment="1">
      <alignment horizontal="center" vertical="center"/>
    </xf>
  </cellXfs>
  <cellStyles count="4">
    <cellStyle name="Currency" xfId="1" builtinId="4"/>
    <cellStyle name="Normal" xfId="0" builtinId="0"/>
    <cellStyle name="Percent" xfId="2" builtinId="5"/>
    <cellStyle name="הערה" xfId="3" builtinId="1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-48032090</xdr:colOff>
      <xdr:row>4</xdr:row>
      <xdr:rowOff>79099</xdr:rowOff>
    </xdr:from>
    <xdr:to>
      <xdr:col>0</xdr:col>
      <xdr:colOff>-45105430</xdr:colOff>
      <xdr:row>8</xdr:row>
      <xdr:rowOff>97391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D4C22010-869B-45E1-8B26-C554C1CFD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6976855" y="1241149"/>
          <a:ext cx="2926660" cy="818392"/>
        </a:xfrm>
        <a:prstGeom prst="rect">
          <a:avLst/>
        </a:prstGeom>
      </xdr:spPr>
    </xdr:pic>
    <xdr:clientData/>
  </xdr:twoCellAnchor>
  <xdr:twoCellAnchor editAs="oneCell">
    <xdr:from>
      <xdr:col>0</xdr:col>
      <xdr:colOff>-17540272</xdr:colOff>
      <xdr:row>4</xdr:row>
      <xdr:rowOff>63043</xdr:rowOff>
    </xdr:from>
    <xdr:to>
      <xdr:col>0</xdr:col>
      <xdr:colOff>-14618740</xdr:colOff>
      <xdr:row>8</xdr:row>
      <xdr:rowOff>81335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FDD3F947-9D67-46EE-9C51-71137E471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6490165" y="1225093"/>
          <a:ext cx="2921532" cy="8183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-48032090</xdr:colOff>
      <xdr:row>4</xdr:row>
      <xdr:rowOff>79099</xdr:rowOff>
    </xdr:from>
    <xdr:to>
      <xdr:col>0</xdr:col>
      <xdr:colOff>-45105430</xdr:colOff>
      <xdr:row>8</xdr:row>
      <xdr:rowOff>97391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523DC30E-CF88-4ECC-8FDC-99606C040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1867905" y="1250674"/>
          <a:ext cx="2926660" cy="818392"/>
        </a:xfrm>
        <a:prstGeom prst="rect">
          <a:avLst/>
        </a:prstGeom>
      </xdr:spPr>
    </xdr:pic>
    <xdr:clientData/>
  </xdr:twoCellAnchor>
  <xdr:twoCellAnchor editAs="oneCell">
    <xdr:from>
      <xdr:col>0</xdr:col>
      <xdr:colOff>-17540272</xdr:colOff>
      <xdr:row>4</xdr:row>
      <xdr:rowOff>63043</xdr:rowOff>
    </xdr:from>
    <xdr:to>
      <xdr:col>0</xdr:col>
      <xdr:colOff>-14618740</xdr:colOff>
      <xdr:row>8</xdr:row>
      <xdr:rowOff>81335</xdr:rowOff>
    </xdr:to>
    <xdr:pic>
      <xdr:nvPicPr>
        <xdr:cNvPr id="10" name="תמונה 9">
          <a:extLst>
            <a:ext uri="{FF2B5EF4-FFF2-40B4-BE49-F238E27FC236}">
              <a16:creationId xmlns:a16="http://schemas.microsoft.com/office/drawing/2014/main" id="{003EB3E1-CE7A-4393-9A2A-BB68F9677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7636855" y="1235351"/>
          <a:ext cx="2921532" cy="8095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hedm-my.sharepoint.com/Users/ahron/Desktop/-%20&#1506;&#1499;&#1493;%20%20-%20&#1502;&#1495;&#1497;&#1512;%20&#1502;&#1493;&#1508;&#1495;&#1514;%20&#1490;4%20-%2006.07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hedm-my.sharepoint.com/Users/ahron/Desktop/&#1490;4%20%20&#1506;&#1499;&#1493;%20%20&#1513;&#1489;&#1500;&#1493;&#1504;&#1492;%20&#1495;&#1491;&#1513;&#1492;%2027.8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טיפוסי דירה"/>
      <sheetName val="מגרש L,H"/>
      <sheetName val="סיכום בניינים"/>
    </sheetNames>
    <sheetDataSet>
      <sheetData sheetId="0" refreshError="1">
        <row r="1">
          <cell r="B1" t="str">
            <v>טיפוס</v>
          </cell>
          <cell r="C1" t="str">
            <v>חדרים</v>
          </cell>
          <cell r="D1" t="str">
            <v>שטח דירה</v>
          </cell>
          <cell r="E1" t="str">
            <v>שטח מרפסת</v>
          </cell>
        </row>
        <row r="2">
          <cell r="B2" t="str">
            <v>CG</v>
          </cell>
          <cell r="C2">
            <v>3</v>
          </cell>
          <cell r="D2">
            <v>80.72</v>
          </cell>
          <cell r="E2">
            <v>0</v>
          </cell>
        </row>
        <row r="3">
          <cell r="B3" t="str">
            <v>BG</v>
          </cell>
          <cell r="C3">
            <v>4</v>
          </cell>
          <cell r="D3">
            <v>102.61</v>
          </cell>
          <cell r="E3">
            <v>0</v>
          </cell>
        </row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B5" t="str">
            <v>A</v>
          </cell>
          <cell r="C5">
            <v>5</v>
          </cell>
          <cell r="D5">
            <v>125.37</v>
          </cell>
          <cell r="E5">
            <v>22.96</v>
          </cell>
        </row>
        <row r="6">
          <cell r="B6" t="str">
            <v>B</v>
          </cell>
          <cell r="C6">
            <v>4</v>
          </cell>
          <cell r="D6">
            <v>102.61</v>
          </cell>
          <cell r="E6">
            <v>14.65</v>
          </cell>
        </row>
        <row r="7">
          <cell r="B7" t="str">
            <v>C</v>
          </cell>
          <cell r="C7">
            <v>3</v>
          </cell>
          <cell r="D7">
            <v>80.06</v>
          </cell>
          <cell r="E7">
            <v>13.15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</row>
        <row r="9">
          <cell r="B9" t="str">
            <v>R</v>
          </cell>
          <cell r="C9">
            <v>6</v>
          </cell>
          <cell r="D9">
            <v>153.71</v>
          </cell>
          <cell r="E9">
            <v>36.49</v>
          </cell>
        </row>
        <row r="10">
          <cell r="B10" t="str">
            <v>S</v>
          </cell>
          <cell r="C10">
            <v>6</v>
          </cell>
          <cell r="D10">
            <v>155.19</v>
          </cell>
          <cell r="E10">
            <v>29.82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 t="str">
            <v>T</v>
          </cell>
          <cell r="C12">
            <v>5</v>
          </cell>
          <cell r="D12">
            <v>137.02000000000001</v>
          </cell>
          <cell r="E12">
            <v>53.61</v>
          </cell>
        </row>
        <row r="13">
          <cell r="B13" t="str">
            <v>U</v>
          </cell>
          <cell r="C13">
            <v>5</v>
          </cell>
          <cell r="D13">
            <v>134.94</v>
          </cell>
          <cell r="E13">
            <v>36.340000000000003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</row>
        <row r="19">
          <cell r="B19" t="str">
            <v>DG</v>
          </cell>
          <cell r="C19">
            <v>5</v>
          </cell>
          <cell r="D19">
            <v>126.81</v>
          </cell>
          <cell r="E19">
            <v>0</v>
          </cell>
        </row>
        <row r="20">
          <cell r="B20" t="str">
            <v>EG</v>
          </cell>
          <cell r="C20">
            <v>4</v>
          </cell>
          <cell r="D20">
            <v>104.15</v>
          </cell>
          <cell r="E20">
            <v>0</v>
          </cell>
        </row>
        <row r="21">
          <cell r="B21" t="str">
            <v>FG</v>
          </cell>
          <cell r="C21">
            <v>4</v>
          </cell>
          <cell r="D21">
            <v>104.71</v>
          </cell>
          <cell r="E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B23" t="str">
            <v>D</v>
          </cell>
          <cell r="C23">
            <v>5</v>
          </cell>
          <cell r="D23">
            <v>125.62</v>
          </cell>
          <cell r="E23">
            <v>22.25</v>
          </cell>
        </row>
        <row r="24">
          <cell r="B24" t="str">
            <v>E</v>
          </cell>
          <cell r="C24">
            <v>4</v>
          </cell>
          <cell r="D24">
            <v>104.15</v>
          </cell>
          <cell r="E24">
            <v>19.91</v>
          </cell>
        </row>
        <row r="25">
          <cell r="B25" t="str">
            <v>F</v>
          </cell>
          <cell r="C25">
            <v>4</v>
          </cell>
          <cell r="D25">
            <v>104.21</v>
          </cell>
          <cell r="E25">
            <v>19.91</v>
          </cell>
        </row>
        <row r="26">
          <cell r="B26" t="str">
            <v>G</v>
          </cell>
          <cell r="C26">
            <v>3</v>
          </cell>
          <cell r="D26">
            <v>79.7</v>
          </cell>
          <cell r="E26">
            <v>14.06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</row>
        <row r="28">
          <cell r="B28" t="str">
            <v>W</v>
          </cell>
          <cell r="C28">
            <v>6</v>
          </cell>
          <cell r="D28">
            <v>168.49</v>
          </cell>
          <cell r="E28">
            <v>78.25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0">
          <cell r="B30" t="str">
            <v>V</v>
          </cell>
          <cell r="C30">
            <v>5</v>
          </cell>
          <cell r="D30">
            <v>147.15</v>
          </cell>
          <cell r="E30">
            <v>43.27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מחיר למשתכן"/>
      <sheetName val="כולל חניות ומחסנים מתוקן 13.9.2"/>
      <sheetName val="סיכום בניינים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60"/>
  <sheetViews>
    <sheetView rightToLeft="1" tabSelected="1" view="pageBreakPreview" zoomScale="115" zoomScaleNormal="115" zoomScaleSheetLayoutView="115" workbookViewId="0">
      <pane ySplit="10" topLeftCell="A11" activePane="bottomLeft" state="frozen"/>
      <selection pane="bottomLeft" activeCell="E116" sqref="E116"/>
    </sheetView>
  </sheetViews>
  <sheetFormatPr defaultColWidth="9.125" defaultRowHeight="15" x14ac:dyDescent="0.25"/>
  <cols>
    <col min="1" max="1" width="5.875" style="49" customWidth="1"/>
    <col min="2" max="2" width="7.625" style="49" customWidth="1"/>
    <col min="3" max="3" width="6.625" style="49" customWidth="1"/>
    <col min="4" max="4" width="9.125" style="49"/>
    <col min="5" max="5" width="7.125" style="49" customWidth="1"/>
    <col min="6" max="6" width="7.875" style="49" customWidth="1"/>
    <col min="7" max="7" width="9.125" style="49" customWidth="1"/>
    <col min="8" max="8" width="13.375" style="49" customWidth="1"/>
    <col min="9" max="9" width="0.25" style="49" customWidth="1"/>
    <col min="10" max="10" width="6.375" style="49" customWidth="1"/>
    <col min="11" max="11" width="6.875" style="49" customWidth="1"/>
    <col min="12" max="12" width="13.25" style="62" customWidth="1"/>
    <col min="13" max="13" width="11.25" style="49" customWidth="1"/>
    <col min="14" max="14" width="14.25" style="49" customWidth="1"/>
    <col min="15" max="15" width="8.625" style="112" customWidth="1"/>
    <col min="16" max="16" width="6.375" style="296" customWidth="1"/>
    <col min="17" max="17" width="9.125" style="49"/>
    <col min="18" max="18" width="7.625" style="49" customWidth="1"/>
    <col min="19" max="19" width="12" style="49" customWidth="1"/>
    <col min="20" max="20" width="21" style="49" customWidth="1"/>
    <col min="21" max="21" width="7.625" style="49" customWidth="1"/>
    <col min="22" max="22" width="8.125" style="49" customWidth="1"/>
    <col min="23" max="23" width="7.75" style="49" customWidth="1"/>
    <col min="24" max="16384" width="9.125" style="49"/>
  </cols>
  <sheetData>
    <row r="1" spans="1:23" ht="18.75" thickBot="1" x14ac:dyDescent="0.3">
      <c r="C1" s="50"/>
      <c r="D1" s="50"/>
      <c r="E1" s="276"/>
      <c r="F1" s="50"/>
      <c r="G1" s="276"/>
      <c r="H1" s="50" t="s">
        <v>0</v>
      </c>
      <c r="I1" s="51"/>
      <c r="J1" s="51"/>
      <c r="K1" s="51"/>
      <c r="L1" s="116"/>
      <c r="M1" s="52"/>
      <c r="N1" s="52"/>
      <c r="O1" s="297"/>
      <c r="P1" s="300"/>
      <c r="Q1" s="53"/>
    </row>
    <row r="2" spans="1:23" ht="41.25" customHeight="1" thickBot="1" x14ac:dyDescent="0.3">
      <c r="F2" s="54"/>
      <c r="G2" s="55"/>
      <c r="H2" s="55"/>
      <c r="I2" s="55"/>
      <c r="J2" s="55"/>
      <c r="K2" s="445" t="s">
        <v>78</v>
      </c>
      <c r="L2" s="445"/>
      <c r="M2" s="445"/>
      <c r="N2" s="445"/>
      <c r="O2" s="298"/>
      <c r="P2" s="298"/>
      <c r="Q2" s="56"/>
      <c r="R2" s="57" t="s">
        <v>1</v>
      </c>
      <c r="S2" s="58" t="s">
        <v>2</v>
      </c>
      <c r="T2" s="59" t="s">
        <v>3</v>
      </c>
      <c r="U2" s="60" t="s">
        <v>4</v>
      </c>
      <c r="V2" s="61" t="s">
        <v>5</v>
      </c>
      <c r="W2" s="60" t="s">
        <v>6</v>
      </c>
    </row>
    <row r="3" spans="1:23" ht="15.75" thickBot="1" x14ac:dyDescent="0.25">
      <c r="A3" s="277" t="s">
        <v>7</v>
      </c>
      <c r="B3" s="112"/>
      <c r="C3" s="80" t="s">
        <v>8</v>
      </c>
      <c r="G3" s="446" t="s">
        <v>9</v>
      </c>
      <c r="H3" s="446"/>
      <c r="I3" s="112"/>
      <c r="J3" s="277" t="s">
        <v>76</v>
      </c>
      <c r="K3" s="277"/>
      <c r="L3" s="277"/>
      <c r="M3" s="112"/>
      <c r="Q3" s="52"/>
      <c r="R3" s="63">
        <v>3</v>
      </c>
      <c r="S3" s="64">
        <v>51</v>
      </c>
      <c r="T3" s="64">
        <v>22</v>
      </c>
      <c r="U3" s="65">
        <f>S3-T3</f>
        <v>29</v>
      </c>
      <c r="V3" s="66">
        <f>U3/S3</f>
        <v>0.56862745098039214</v>
      </c>
      <c r="W3" s="67">
        <f>(U3+U4)/(S3+S4)</f>
        <v>0.49333333333333335</v>
      </c>
    </row>
    <row r="4" spans="1:23" ht="15.75" thickBot="1" x14ac:dyDescent="0.25">
      <c r="A4" s="278" t="s">
        <v>10</v>
      </c>
      <c r="B4" s="279"/>
      <c r="C4" s="80">
        <v>51213</v>
      </c>
      <c r="F4" s="106"/>
      <c r="G4" s="112"/>
      <c r="H4" s="277" t="s">
        <v>11</v>
      </c>
      <c r="I4" s="112"/>
      <c r="J4" s="112"/>
      <c r="K4" s="112"/>
      <c r="L4" s="277"/>
      <c r="M4" s="112"/>
      <c r="O4" s="280">
        <v>6786</v>
      </c>
      <c r="Q4" s="52"/>
      <c r="R4" s="68">
        <v>4</v>
      </c>
      <c r="S4" s="69">
        <v>99</v>
      </c>
      <c r="T4" s="69">
        <v>54</v>
      </c>
      <c r="U4" s="65">
        <f>S4-T4</f>
        <v>45</v>
      </c>
      <c r="V4" s="70">
        <f t="shared" ref="V4:V6" si="0">U4/S4</f>
        <v>0.45454545454545453</v>
      </c>
      <c r="W4" s="71"/>
    </row>
    <row r="5" spans="1:23" ht="15.75" thickBot="1" x14ac:dyDescent="0.3">
      <c r="A5" s="442" t="s">
        <v>80</v>
      </c>
      <c r="B5" s="442"/>
      <c r="C5" s="80">
        <v>1902</v>
      </c>
      <c r="F5" s="106"/>
      <c r="J5" s="62"/>
      <c r="O5" s="302"/>
      <c r="Q5" s="52"/>
      <c r="R5" s="73">
        <v>5</v>
      </c>
      <c r="S5" s="74">
        <v>72</v>
      </c>
      <c r="T5" s="74">
        <v>33</v>
      </c>
      <c r="U5" s="65">
        <f t="shared" ref="U5:U7" si="1">S5-T5</f>
        <v>39</v>
      </c>
      <c r="V5" s="75">
        <f t="shared" si="0"/>
        <v>0.54166666666666663</v>
      </c>
      <c r="W5" s="76">
        <f>(U5+U6)/(S5+S6)</f>
        <v>0.52222222222222225</v>
      </c>
    </row>
    <row r="6" spans="1:23" ht="15.75" thickBot="1" x14ac:dyDescent="0.3">
      <c r="A6" s="277" t="s">
        <v>12</v>
      </c>
      <c r="B6" s="277"/>
      <c r="C6" s="112"/>
      <c r="D6" s="112"/>
      <c r="E6" s="80">
        <v>240</v>
      </c>
      <c r="J6" s="62"/>
      <c r="O6" s="302"/>
      <c r="Q6" s="52"/>
      <c r="R6" s="77">
        <v>6</v>
      </c>
      <c r="S6" s="78">
        <v>18</v>
      </c>
      <c r="T6" s="78">
        <v>10</v>
      </c>
      <c r="U6" s="65">
        <f t="shared" si="1"/>
        <v>8</v>
      </c>
      <c r="V6" s="75">
        <f t="shared" si="0"/>
        <v>0.44444444444444442</v>
      </c>
      <c r="W6" s="79"/>
    </row>
    <row r="7" spans="1:23" ht="15.75" thickBot="1" x14ac:dyDescent="0.3">
      <c r="A7" s="277" t="s">
        <v>13</v>
      </c>
      <c r="B7" s="277"/>
      <c r="C7" s="112"/>
      <c r="D7" s="112"/>
      <c r="E7" s="80">
        <v>121</v>
      </c>
      <c r="J7" s="62"/>
      <c r="N7" s="72"/>
      <c r="O7" s="302"/>
      <c r="Q7" s="52"/>
      <c r="R7" s="81" t="s">
        <v>2</v>
      </c>
      <c r="S7" s="81">
        <f>SUM(S3:S6)</f>
        <v>240</v>
      </c>
      <c r="T7" s="82">
        <f>SUBTOTAL(9,T3:T6)</f>
        <v>119</v>
      </c>
      <c r="U7" s="81">
        <f t="shared" si="1"/>
        <v>121</v>
      </c>
      <c r="V7" s="109">
        <f>U7/S7</f>
        <v>0.50416666666666665</v>
      </c>
      <c r="W7" s="83"/>
    </row>
    <row r="8" spans="1:23" ht="15.75" thickBot="1" x14ac:dyDescent="0.3">
      <c r="A8" s="277" t="s">
        <v>14</v>
      </c>
      <c r="B8" s="277"/>
      <c r="C8" s="112"/>
      <c r="D8" s="112"/>
      <c r="E8" s="84">
        <f>E7/E6</f>
        <v>0.50416666666666665</v>
      </c>
      <c r="G8" s="85"/>
      <c r="H8" s="85"/>
      <c r="I8" s="85"/>
      <c r="J8" s="62"/>
      <c r="N8" s="72"/>
      <c r="O8" s="303"/>
      <c r="Q8" s="52"/>
    </row>
    <row r="9" spans="1:23" ht="15.75" thickBot="1" x14ac:dyDescent="0.3">
      <c r="A9" s="62"/>
      <c r="Q9" s="52"/>
    </row>
    <row r="10" spans="1:23" ht="75" customHeight="1" thickBot="1" x14ac:dyDescent="0.25">
      <c r="A10" s="340" t="s">
        <v>15</v>
      </c>
      <c r="B10" s="340" t="s">
        <v>16</v>
      </c>
      <c r="C10" s="341" t="s">
        <v>17</v>
      </c>
      <c r="D10" s="340" t="s">
        <v>18</v>
      </c>
      <c r="E10" s="341" t="s">
        <v>19</v>
      </c>
      <c r="F10" s="340" t="s">
        <v>20</v>
      </c>
      <c r="G10" s="340" t="s">
        <v>82</v>
      </c>
      <c r="H10" s="340" t="s">
        <v>21</v>
      </c>
      <c r="I10" s="342" t="s">
        <v>22</v>
      </c>
      <c r="J10" s="343" t="s">
        <v>23</v>
      </c>
      <c r="K10" s="340" t="s">
        <v>24</v>
      </c>
      <c r="L10" s="341" t="s">
        <v>25</v>
      </c>
      <c r="M10" s="344" t="s">
        <v>77</v>
      </c>
      <c r="N10" s="341" t="s">
        <v>26</v>
      </c>
      <c r="O10" s="340" t="s">
        <v>27</v>
      </c>
    </row>
    <row r="11" spans="1:23" s="361" customFormat="1" ht="20.100000000000001" customHeight="1" x14ac:dyDescent="0.3">
      <c r="A11" s="447" t="s">
        <v>28</v>
      </c>
      <c r="B11" s="348">
        <v>134</v>
      </c>
      <c r="C11" s="349">
        <v>1</v>
      </c>
      <c r="D11" s="348" t="s">
        <v>42</v>
      </c>
      <c r="E11" s="350" t="s">
        <v>29</v>
      </c>
      <c r="F11" s="351">
        <v>3</v>
      </c>
      <c r="G11" s="352">
        <v>80.739999999999995</v>
      </c>
      <c r="H11" s="353">
        <v>71.680000000000007</v>
      </c>
      <c r="I11" s="354">
        <v>16.167999999999999</v>
      </c>
      <c r="J11" s="355">
        <v>3.5</v>
      </c>
      <c r="K11" s="356">
        <v>1</v>
      </c>
      <c r="L11" s="357">
        <f>(G11+I11+(J11*0.4)+(K11*2))*$O$4</f>
        <v>680690.08799999999</v>
      </c>
      <c r="M11" s="358"/>
      <c r="N11" s="349" t="s">
        <v>30</v>
      </c>
      <c r="O11" s="348">
        <v>1</v>
      </c>
      <c r="P11" s="359">
        <v>1</v>
      </c>
      <c r="Q11" s="360"/>
      <c r="T11" s="362"/>
    </row>
    <row r="12" spans="1:23" s="423" customFormat="1" ht="20.100000000000001" customHeight="1" x14ac:dyDescent="0.25">
      <c r="A12" s="448"/>
      <c r="B12" s="371">
        <v>134</v>
      </c>
      <c r="C12" s="375">
        <v>3</v>
      </c>
      <c r="D12" s="371" t="s">
        <v>33</v>
      </c>
      <c r="E12" s="375">
        <v>1</v>
      </c>
      <c r="F12" s="371">
        <v>5</v>
      </c>
      <c r="G12" s="367">
        <v>125.53</v>
      </c>
      <c r="H12" s="368">
        <v>22.74</v>
      </c>
      <c r="I12" s="369">
        <v>6.8219999999999992</v>
      </c>
      <c r="J12" s="378">
        <v>3.15</v>
      </c>
      <c r="K12" s="371">
        <v>2</v>
      </c>
      <c r="L12" s="372">
        <f>(G12+I12+(J12*0.4)+(K12*2))*$O$4-((G12-125)*0.15*$O$4)</f>
        <v>933295.54500000004</v>
      </c>
      <c r="M12" s="373"/>
      <c r="N12" s="375" t="s">
        <v>30</v>
      </c>
      <c r="O12" s="371">
        <v>16</v>
      </c>
      <c r="P12" s="422">
        <v>2</v>
      </c>
      <c r="Q12" s="407"/>
      <c r="T12" s="424"/>
    </row>
    <row r="13" spans="1:23" s="418" customFormat="1" ht="20.100000000000001" customHeight="1" x14ac:dyDescent="0.3">
      <c r="A13" s="448"/>
      <c r="B13" s="363">
        <v>134</v>
      </c>
      <c r="C13" s="364">
        <v>4</v>
      </c>
      <c r="D13" s="363" t="s">
        <v>34</v>
      </c>
      <c r="E13" s="365">
        <v>1</v>
      </c>
      <c r="F13" s="366">
        <v>3</v>
      </c>
      <c r="G13" s="367">
        <v>80.39</v>
      </c>
      <c r="H13" s="368">
        <f>VLOOKUP(D13,'[1]טיפוסי דירה'!$B$1:$E$51,4,FALSE)</f>
        <v>13.15</v>
      </c>
      <c r="I13" s="369">
        <v>3.9449999999999998</v>
      </c>
      <c r="J13" s="374">
        <v>5.96</v>
      </c>
      <c r="K13" s="371">
        <v>1</v>
      </c>
      <c r="L13" s="372">
        <f>(G13+I13+(J13*0.4)+(K13*2))*$O$4</f>
        <v>602047.13399999996</v>
      </c>
      <c r="M13" s="373"/>
      <c r="N13" s="364" t="s">
        <v>30</v>
      </c>
      <c r="O13" s="363">
        <v>11</v>
      </c>
      <c r="P13" s="359">
        <v>3</v>
      </c>
      <c r="Q13" s="420"/>
      <c r="T13" s="419"/>
    </row>
    <row r="14" spans="1:23" s="361" customFormat="1" ht="20.100000000000001" customHeight="1" x14ac:dyDescent="0.3">
      <c r="A14" s="448"/>
      <c r="B14" s="363">
        <v>134</v>
      </c>
      <c r="C14" s="364">
        <v>5</v>
      </c>
      <c r="D14" s="363" t="s">
        <v>35</v>
      </c>
      <c r="E14" s="365">
        <v>1</v>
      </c>
      <c r="F14" s="366">
        <v>4</v>
      </c>
      <c r="G14" s="367">
        <v>102.6</v>
      </c>
      <c r="H14" s="368">
        <f>VLOOKUP(D14,'[1]טיפוסי דירה'!$B$1:$E$51,4,FALSE)</f>
        <v>14.65</v>
      </c>
      <c r="I14" s="369">
        <v>4.3949999999999996</v>
      </c>
      <c r="J14" s="370">
        <v>3.85</v>
      </c>
      <c r="K14" s="371">
        <v>1</v>
      </c>
      <c r="L14" s="372">
        <f>(G14+I14+(J14*0.4)+(K14*2))*$O$4</f>
        <v>750090.51</v>
      </c>
      <c r="M14" s="373"/>
      <c r="N14" s="364" t="s">
        <v>30</v>
      </c>
      <c r="O14" s="363">
        <v>13</v>
      </c>
      <c r="P14" s="359">
        <v>4</v>
      </c>
      <c r="Q14" s="360"/>
      <c r="T14" s="362"/>
    </row>
    <row r="15" spans="1:23" s="423" customFormat="1" ht="20.100000000000001" customHeight="1" x14ac:dyDescent="0.3">
      <c r="A15" s="448"/>
      <c r="B15" s="371">
        <v>134</v>
      </c>
      <c r="C15" s="375">
        <v>6</v>
      </c>
      <c r="D15" s="371" t="s">
        <v>33</v>
      </c>
      <c r="E15" s="376">
        <v>2</v>
      </c>
      <c r="F15" s="377">
        <v>5</v>
      </c>
      <c r="G15" s="367">
        <v>125.53</v>
      </c>
      <c r="H15" s="368">
        <v>22.74</v>
      </c>
      <c r="I15" s="369">
        <v>6.8219999999999992</v>
      </c>
      <c r="J15" s="378">
        <v>3.57</v>
      </c>
      <c r="K15" s="371">
        <v>2</v>
      </c>
      <c r="L15" s="372">
        <f>(G15+I15+(J15*0.4)+(K15*2))*$O$4-((G15-125)*0.15*$O$4)</f>
        <v>934435.59299999999</v>
      </c>
      <c r="M15" s="373"/>
      <c r="N15" s="375" t="s">
        <v>30</v>
      </c>
      <c r="O15" s="371">
        <v>7</v>
      </c>
      <c r="P15" s="422">
        <v>5</v>
      </c>
      <c r="Q15" s="407"/>
      <c r="T15" s="424"/>
    </row>
    <row r="16" spans="1:23" s="361" customFormat="1" ht="20.100000000000001" customHeight="1" x14ac:dyDescent="0.3">
      <c r="A16" s="448"/>
      <c r="B16" s="363">
        <v>134</v>
      </c>
      <c r="C16" s="364">
        <v>7</v>
      </c>
      <c r="D16" s="363" t="s">
        <v>34</v>
      </c>
      <c r="E16" s="365">
        <v>2</v>
      </c>
      <c r="F16" s="366">
        <v>3</v>
      </c>
      <c r="G16" s="367">
        <v>80.39</v>
      </c>
      <c r="H16" s="368">
        <f>VLOOKUP(D16,'[1]טיפוסי דירה'!$B$1:$E$51,4,FALSE)</f>
        <v>13.15</v>
      </c>
      <c r="I16" s="369">
        <v>3.9449999999999998</v>
      </c>
      <c r="J16" s="370">
        <v>3.87</v>
      </c>
      <c r="K16" s="371">
        <v>1</v>
      </c>
      <c r="L16" s="372">
        <f>(G16+I16+(J16*0.4)+(K16*2))*$O$4</f>
        <v>596374.03799999994</v>
      </c>
      <c r="M16" s="373"/>
      <c r="N16" s="364" t="s">
        <v>30</v>
      </c>
      <c r="O16" s="363">
        <v>12</v>
      </c>
      <c r="P16" s="359">
        <v>6</v>
      </c>
      <c r="Q16" s="360"/>
      <c r="T16" s="362"/>
    </row>
    <row r="17" spans="1:20" s="361" customFormat="1" ht="20.100000000000001" customHeight="1" x14ac:dyDescent="0.3">
      <c r="A17" s="448"/>
      <c r="B17" s="363">
        <v>134</v>
      </c>
      <c r="C17" s="364">
        <v>8</v>
      </c>
      <c r="D17" s="363" t="s">
        <v>35</v>
      </c>
      <c r="E17" s="365">
        <v>2</v>
      </c>
      <c r="F17" s="366">
        <v>4</v>
      </c>
      <c r="G17" s="367">
        <v>102.6</v>
      </c>
      <c r="H17" s="368">
        <f>VLOOKUP(D17,'[1]טיפוסי דירה'!$B$1:$E$51,4,FALSE)</f>
        <v>14.65</v>
      </c>
      <c r="I17" s="369">
        <v>4.3949999999999996</v>
      </c>
      <c r="J17" s="370">
        <v>3.78</v>
      </c>
      <c r="K17" s="371">
        <v>1</v>
      </c>
      <c r="L17" s="372">
        <f>(G17+I17+(J17*0.4)+(K17*2))*$O$4</f>
        <v>749900.50199999998</v>
      </c>
      <c r="M17" s="373"/>
      <c r="N17" s="364" t="s">
        <v>30</v>
      </c>
      <c r="O17" s="363">
        <v>5</v>
      </c>
      <c r="P17" s="359">
        <v>7</v>
      </c>
      <c r="Q17" s="360"/>
      <c r="T17" s="362"/>
    </row>
    <row r="18" spans="1:20" s="361" customFormat="1" ht="20.100000000000001" customHeight="1" x14ac:dyDescent="0.3">
      <c r="A18" s="448"/>
      <c r="B18" s="363">
        <v>134</v>
      </c>
      <c r="C18" s="364">
        <v>10</v>
      </c>
      <c r="D18" s="363" t="s">
        <v>34</v>
      </c>
      <c r="E18" s="365">
        <v>3</v>
      </c>
      <c r="F18" s="366">
        <v>3</v>
      </c>
      <c r="G18" s="367">
        <v>80.39</v>
      </c>
      <c r="H18" s="368">
        <f>VLOOKUP(D18,'[1]טיפוסי דירה'!$B$1:$E$51,4,FALSE)</f>
        <v>13.15</v>
      </c>
      <c r="I18" s="369">
        <v>3.9449999999999998</v>
      </c>
      <c r="J18" s="374">
        <v>3.3</v>
      </c>
      <c r="K18" s="371">
        <v>1</v>
      </c>
      <c r="L18" s="372">
        <f>(G18+I18+(J18*0.4)+(K18*2))*$O$4</f>
        <v>594826.82999999996</v>
      </c>
      <c r="M18" s="373"/>
      <c r="N18" s="364" t="s">
        <v>30</v>
      </c>
      <c r="O18" s="363">
        <v>2</v>
      </c>
      <c r="P18" s="359">
        <v>8</v>
      </c>
      <c r="Q18" s="360"/>
      <c r="T18" s="362"/>
    </row>
    <row r="19" spans="1:20" s="361" customFormat="1" ht="20.100000000000001" customHeight="1" x14ac:dyDescent="0.3">
      <c r="A19" s="448"/>
      <c r="B19" s="363">
        <v>134</v>
      </c>
      <c r="C19" s="364">
        <v>12</v>
      </c>
      <c r="D19" s="363" t="s">
        <v>33</v>
      </c>
      <c r="E19" s="365">
        <v>4</v>
      </c>
      <c r="F19" s="366">
        <v>5</v>
      </c>
      <c r="G19" s="367">
        <v>125.53</v>
      </c>
      <c r="H19" s="368">
        <v>22.74</v>
      </c>
      <c r="I19" s="369">
        <v>6.8219999999999992</v>
      </c>
      <c r="J19" s="370">
        <v>3.57</v>
      </c>
      <c r="K19" s="371">
        <v>2</v>
      </c>
      <c r="L19" s="372">
        <f>(G19+I19+(J19*0.4)+(K19*2))*$O$4-((G19-125)*0.15*$O$4)</f>
        <v>934435.59299999999</v>
      </c>
      <c r="M19" s="373"/>
      <c r="N19" s="364" t="s">
        <v>30</v>
      </c>
      <c r="O19" s="363">
        <v>8</v>
      </c>
      <c r="P19" s="359">
        <v>9</v>
      </c>
      <c r="Q19" s="360"/>
      <c r="T19" s="362"/>
    </row>
    <row r="20" spans="1:20" s="361" customFormat="1" ht="20.100000000000001" customHeight="1" x14ac:dyDescent="0.3">
      <c r="A20" s="448"/>
      <c r="B20" s="371">
        <v>134</v>
      </c>
      <c r="C20" s="375">
        <v>13</v>
      </c>
      <c r="D20" s="371" t="s">
        <v>34</v>
      </c>
      <c r="E20" s="376">
        <v>4</v>
      </c>
      <c r="F20" s="377">
        <v>3</v>
      </c>
      <c r="G20" s="367">
        <v>80.39</v>
      </c>
      <c r="H20" s="368">
        <f>VLOOKUP(D20,'[1]טיפוסי דירה'!$B$1:$E$51,4,FALSE)</f>
        <v>13.15</v>
      </c>
      <c r="I20" s="369">
        <v>3.9449999999999998</v>
      </c>
      <c r="J20" s="433">
        <v>3.24</v>
      </c>
      <c r="K20" s="371">
        <v>1</v>
      </c>
      <c r="L20" s="372">
        <f>(G20+I20+(J20*0.4)+(K20*2))*$O$4</f>
        <v>594663.96600000001</v>
      </c>
      <c r="M20" s="373"/>
      <c r="N20" s="375" t="s">
        <v>30</v>
      </c>
      <c r="O20" s="371">
        <v>3</v>
      </c>
      <c r="P20" s="359">
        <v>10</v>
      </c>
      <c r="Q20" s="360"/>
      <c r="T20" s="362"/>
    </row>
    <row r="21" spans="1:20" s="361" customFormat="1" ht="20.100000000000001" customHeight="1" x14ac:dyDescent="0.3">
      <c r="A21" s="448"/>
      <c r="B21" s="371">
        <v>134</v>
      </c>
      <c r="C21" s="375">
        <v>15</v>
      </c>
      <c r="D21" s="371" t="s">
        <v>36</v>
      </c>
      <c r="E21" s="376">
        <v>5</v>
      </c>
      <c r="F21" s="377">
        <v>6</v>
      </c>
      <c r="G21" s="367">
        <v>153.69999999999999</v>
      </c>
      <c r="H21" s="368">
        <v>36.479999999999997</v>
      </c>
      <c r="I21" s="369">
        <v>10.295999999999999</v>
      </c>
      <c r="J21" s="378">
        <v>3.39</v>
      </c>
      <c r="K21" s="371">
        <v>2</v>
      </c>
      <c r="L21" s="372">
        <f>(G21+I21+(J21*0.4)+(K21*2))*$O$4-((G21-145)*0.15*$O$4)</f>
        <v>1140366.9419999998</v>
      </c>
      <c r="M21" s="373"/>
      <c r="N21" s="375" t="s">
        <v>30</v>
      </c>
      <c r="O21" s="371">
        <v>15</v>
      </c>
      <c r="P21" s="359">
        <v>11</v>
      </c>
      <c r="Q21" s="379"/>
      <c r="T21" s="362"/>
    </row>
    <row r="22" spans="1:20" s="361" customFormat="1" ht="20.100000000000001" customHeight="1" thickBot="1" x14ac:dyDescent="0.35">
      <c r="A22" s="448"/>
      <c r="B22" s="380">
        <v>134</v>
      </c>
      <c r="C22" s="381">
        <v>16</v>
      </c>
      <c r="D22" s="380" t="s">
        <v>37</v>
      </c>
      <c r="E22" s="382">
        <v>5</v>
      </c>
      <c r="F22" s="383">
        <v>6</v>
      </c>
      <c r="G22" s="384">
        <v>154.93</v>
      </c>
      <c r="H22" s="385">
        <f>VLOOKUP(D22,'[1]טיפוסי דירה'!$B$1:$E$51,4,FALSE)</f>
        <v>29.82</v>
      </c>
      <c r="I22" s="386">
        <v>8.9459999999999997</v>
      </c>
      <c r="J22" s="387">
        <v>5.16</v>
      </c>
      <c r="K22" s="380">
        <v>2</v>
      </c>
      <c r="L22" s="388">
        <f>(G22+I22+(J22*0.4)+(K22*2))*$O$4-((G22-145)*0.15*$O$4)</f>
        <v>1143105.0930000001</v>
      </c>
      <c r="M22" s="389"/>
      <c r="N22" s="381" t="s">
        <v>30</v>
      </c>
      <c r="O22" s="380">
        <v>14</v>
      </c>
      <c r="P22" s="359">
        <v>12</v>
      </c>
      <c r="Q22" s="360"/>
      <c r="T22" s="362"/>
    </row>
    <row r="23" spans="1:20" customFormat="1" ht="15" customHeight="1" thickBot="1" x14ac:dyDescent="0.25">
      <c r="A23" s="345"/>
      <c r="B23" s="346"/>
      <c r="C23" s="346"/>
      <c r="D23" s="443" t="s">
        <v>40</v>
      </c>
      <c r="E23" s="443"/>
      <c r="F23" s="443"/>
      <c r="G23" s="326">
        <f>SUMIF(N11:N22,"כן",G11:G22)/COUNTIF(N11:N22,"כן")</f>
        <v>107.72666666666667</v>
      </c>
      <c r="H23" s="314"/>
      <c r="I23" s="315">
        <v>0</v>
      </c>
      <c r="J23" s="316"/>
      <c r="K23" s="317"/>
      <c r="L23" s="316"/>
      <c r="M23" s="317"/>
      <c r="N23" s="327">
        <f>COUNTIF(N11:N22,"כן")/COUNT(C11:C22)</f>
        <v>1</v>
      </c>
      <c r="O23" s="328"/>
      <c r="P23" s="308" t="s">
        <v>81</v>
      </c>
      <c r="Q23" s="4"/>
    </row>
    <row r="24" spans="1:20" s="361" customFormat="1" ht="20.100000000000001" customHeight="1" x14ac:dyDescent="0.25">
      <c r="A24" s="444" t="s">
        <v>28</v>
      </c>
      <c r="B24" s="390">
        <v>135</v>
      </c>
      <c r="C24" s="391">
        <v>3</v>
      </c>
      <c r="D24" s="392" t="s">
        <v>33</v>
      </c>
      <c r="E24" s="393">
        <v>1</v>
      </c>
      <c r="F24" s="394">
        <f>VLOOKUP(D24,'[1]טיפוסי דירה'!$B$1:$E$51,2,FALSE)</f>
        <v>5</v>
      </c>
      <c r="G24" s="395">
        <v>125.53</v>
      </c>
      <c r="H24" s="396">
        <v>22.74</v>
      </c>
      <c r="I24" s="397">
        <v>6.8219999999999992</v>
      </c>
      <c r="J24" s="398">
        <v>3.16</v>
      </c>
      <c r="K24" s="390">
        <v>2</v>
      </c>
      <c r="L24" s="399">
        <f>(G24+I24+(J24*0.4)+(K24*2))*$O$4-((G24-125)*0.15*$O$4)</f>
        <v>933322.68900000013</v>
      </c>
      <c r="M24" s="400"/>
      <c r="N24" s="391" t="s">
        <v>30</v>
      </c>
      <c r="O24" s="390">
        <v>17</v>
      </c>
      <c r="P24" s="359">
        <v>13</v>
      </c>
      <c r="Q24" s="360"/>
      <c r="T24" s="362"/>
    </row>
    <row r="25" spans="1:20" s="361" customFormat="1" ht="20.100000000000001" customHeight="1" x14ac:dyDescent="0.3">
      <c r="A25" s="444"/>
      <c r="B25" s="363">
        <v>135</v>
      </c>
      <c r="C25" s="364">
        <v>4</v>
      </c>
      <c r="D25" s="371" t="s">
        <v>34</v>
      </c>
      <c r="E25" s="375">
        <v>1</v>
      </c>
      <c r="F25" s="401">
        <f>VLOOKUP(D25,'[1]טיפוסי דירה'!$B$1:$E$51,2,FALSE)</f>
        <v>3</v>
      </c>
      <c r="G25" s="367">
        <v>80.39</v>
      </c>
      <c r="H25" s="368">
        <f>VLOOKUP(D25,'[1]טיפוסי דירה'!$B$1:$E$51,4,FALSE)</f>
        <v>13.15</v>
      </c>
      <c r="I25" s="369">
        <v>3.9449999999999998</v>
      </c>
      <c r="J25" s="374">
        <v>3.3</v>
      </c>
      <c r="K25" s="366">
        <v>1</v>
      </c>
      <c r="L25" s="372">
        <f>(G25+I25+(J25*0.4)+(K25*2))*$O$4</f>
        <v>594826.82999999996</v>
      </c>
      <c r="M25" s="373"/>
      <c r="N25" s="364" t="s">
        <v>30</v>
      </c>
      <c r="O25" s="363">
        <v>2</v>
      </c>
      <c r="P25" s="359">
        <v>14</v>
      </c>
      <c r="Q25" s="360"/>
      <c r="T25" s="362"/>
    </row>
    <row r="26" spans="1:20" s="361" customFormat="1" ht="20.100000000000001" customHeight="1" x14ac:dyDescent="0.3">
      <c r="A26" s="444"/>
      <c r="B26" s="363">
        <v>135</v>
      </c>
      <c r="C26" s="364">
        <v>5</v>
      </c>
      <c r="D26" s="371" t="s">
        <v>35</v>
      </c>
      <c r="E26" s="375">
        <v>1</v>
      </c>
      <c r="F26" s="401">
        <f>VLOOKUP(D26,'[1]טיפוסי דירה'!$B$1:$E$51,2,FALSE)</f>
        <v>4</v>
      </c>
      <c r="G26" s="367">
        <v>102.6</v>
      </c>
      <c r="H26" s="368">
        <f>VLOOKUP(D26,'[1]טיפוסי דירה'!$B$1:$E$51,4,FALSE)</f>
        <v>14.65</v>
      </c>
      <c r="I26" s="369">
        <v>4.3949999999999996</v>
      </c>
      <c r="J26" s="370">
        <v>3.78</v>
      </c>
      <c r="K26" s="366">
        <v>1</v>
      </c>
      <c r="L26" s="372">
        <f>(G26+I26+(J26*0.4)+(K26*2))*$O$4</f>
        <v>749900.50199999998</v>
      </c>
      <c r="M26" s="373"/>
      <c r="N26" s="364" t="s">
        <v>30</v>
      </c>
      <c r="O26" s="363">
        <v>6</v>
      </c>
      <c r="P26" s="359">
        <v>15</v>
      </c>
      <c r="Q26" s="360"/>
      <c r="T26" s="362"/>
    </row>
    <row r="27" spans="1:20" s="361" customFormat="1" ht="20.100000000000001" customHeight="1" x14ac:dyDescent="0.25">
      <c r="A27" s="444"/>
      <c r="B27" s="363">
        <v>135</v>
      </c>
      <c r="C27" s="364">
        <v>6</v>
      </c>
      <c r="D27" s="371" t="s">
        <v>33</v>
      </c>
      <c r="E27" s="375">
        <v>2</v>
      </c>
      <c r="F27" s="401">
        <f>VLOOKUP(D27,'[1]טיפוסי דירה'!$B$1:$E$51,2,FALSE)</f>
        <v>5</v>
      </c>
      <c r="G27" s="367">
        <v>125.53</v>
      </c>
      <c r="H27" s="368">
        <v>22.74</v>
      </c>
      <c r="I27" s="369">
        <v>6.8219999999999992</v>
      </c>
      <c r="J27" s="370">
        <v>3.57</v>
      </c>
      <c r="K27" s="363">
        <v>2</v>
      </c>
      <c r="L27" s="372">
        <f>(G27+I27+(J27*0.4)+(K27*2))*$O$4-((G27-125)*0.15*$O$4)</f>
        <v>934435.59299999999</v>
      </c>
      <c r="M27" s="373"/>
      <c r="N27" s="364" t="s">
        <v>30</v>
      </c>
      <c r="O27" s="363">
        <v>7</v>
      </c>
      <c r="P27" s="359">
        <v>16</v>
      </c>
      <c r="Q27" s="360"/>
      <c r="T27" s="362"/>
    </row>
    <row r="28" spans="1:20" s="361" customFormat="1" ht="20.100000000000001" customHeight="1" x14ac:dyDescent="0.25">
      <c r="A28" s="444"/>
      <c r="B28" s="363">
        <v>135</v>
      </c>
      <c r="C28" s="364">
        <v>8</v>
      </c>
      <c r="D28" s="371" t="s">
        <v>35</v>
      </c>
      <c r="E28" s="375">
        <v>2</v>
      </c>
      <c r="F28" s="401">
        <f>VLOOKUP(D28,'[1]טיפוסי דירה'!$B$1:$E$51,2,FALSE)</f>
        <v>4</v>
      </c>
      <c r="G28" s="367">
        <v>102.6</v>
      </c>
      <c r="H28" s="368">
        <f>VLOOKUP(D28,'[1]טיפוסי דירה'!$B$1:$E$51,4,FALSE)</f>
        <v>14.65</v>
      </c>
      <c r="I28" s="369">
        <v>4.3949999999999996</v>
      </c>
      <c r="J28" s="370">
        <v>5.16</v>
      </c>
      <c r="K28" s="363">
        <v>1</v>
      </c>
      <c r="L28" s="372">
        <f>(G28+I28+(J28*0.4)+(K28*2))*$O$4</f>
        <v>753646.37399999995</v>
      </c>
      <c r="M28" s="373"/>
      <c r="N28" s="364" t="s">
        <v>30</v>
      </c>
      <c r="O28" s="363">
        <v>14</v>
      </c>
      <c r="P28" s="359">
        <v>17</v>
      </c>
      <c r="Q28" s="360"/>
      <c r="T28" s="362"/>
    </row>
    <row r="29" spans="1:20" s="361" customFormat="1" ht="20.100000000000001" customHeight="1" x14ac:dyDescent="0.3">
      <c r="A29" s="444"/>
      <c r="B29" s="371">
        <v>135</v>
      </c>
      <c r="C29" s="375">
        <v>9</v>
      </c>
      <c r="D29" s="371" t="s">
        <v>33</v>
      </c>
      <c r="E29" s="375">
        <v>3</v>
      </c>
      <c r="F29" s="401">
        <f>VLOOKUP(D29,'[1]טיפוסי דירה'!$B$1:$E$51,2,FALSE)</f>
        <v>5</v>
      </c>
      <c r="G29" s="367">
        <v>125.53</v>
      </c>
      <c r="H29" s="368">
        <v>22.74</v>
      </c>
      <c r="I29" s="369">
        <v>6.8219999999999992</v>
      </c>
      <c r="J29" s="378">
        <v>3.57</v>
      </c>
      <c r="K29" s="377">
        <v>2</v>
      </c>
      <c r="L29" s="372">
        <f>(G29+I29+(J29*0.4)+(K29*2))*$O$4-((G29-125)*0.15*$O$4)</f>
        <v>934435.59299999999</v>
      </c>
      <c r="M29" s="373"/>
      <c r="N29" s="375" t="s">
        <v>30</v>
      </c>
      <c r="O29" s="371">
        <v>8</v>
      </c>
      <c r="P29" s="359">
        <v>18</v>
      </c>
      <c r="Q29" s="360"/>
      <c r="T29" s="362"/>
    </row>
    <row r="30" spans="1:20" s="361" customFormat="1" ht="20.100000000000001" customHeight="1" x14ac:dyDescent="0.3">
      <c r="A30" s="444"/>
      <c r="B30" s="363">
        <v>135</v>
      </c>
      <c r="C30" s="364">
        <v>10</v>
      </c>
      <c r="D30" s="371" t="s">
        <v>34</v>
      </c>
      <c r="E30" s="375">
        <v>3</v>
      </c>
      <c r="F30" s="401">
        <f>VLOOKUP(D30,'[1]טיפוסי דירה'!$B$1:$E$51,2,FALSE)</f>
        <v>3</v>
      </c>
      <c r="G30" s="367">
        <v>80.39</v>
      </c>
      <c r="H30" s="368">
        <f>VLOOKUP(D30,'[1]טיפוסי דירה'!$B$1:$E$51,4,FALSE)</f>
        <v>13.15</v>
      </c>
      <c r="I30" s="369">
        <v>3.9449999999999998</v>
      </c>
      <c r="J30" s="374">
        <v>3.87</v>
      </c>
      <c r="K30" s="363">
        <v>1</v>
      </c>
      <c r="L30" s="372">
        <f>(G30+I30+(J30*0.4)+(K30*2))*$O$4</f>
        <v>596374.03799999994</v>
      </c>
      <c r="M30" s="373"/>
      <c r="N30" s="364" t="s">
        <v>30</v>
      </c>
      <c r="O30" s="363">
        <v>12</v>
      </c>
      <c r="P30" s="359">
        <v>19</v>
      </c>
      <c r="Q30" s="360"/>
      <c r="T30" s="362"/>
    </row>
    <row r="31" spans="1:20" s="361" customFormat="1" ht="20.100000000000001" customHeight="1" x14ac:dyDescent="0.3">
      <c r="A31" s="444"/>
      <c r="B31" s="371">
        <v>135</v>
      </c>
      <c r="C31" s="375">
        <v>15</v>
      </c>
      <c r="D31" s="371" t="s">
        <v>36</v>
      </c>
      <c r="E31" s="375">
        <v>5</v>
      </c>
      <c r="F31" s="401">
        <f>VLOOKUP(D31,'[1]טיפוסי דירה'!$B$1:$E$51,2,FALSE)</f>
        <v>6</v>
      </c>
      <c r="G31" s="367">
        <v>153.69999999999999</v>
      </c>
      <c r="H31" s="368">
        <v>36.479999999999997</v>
      </c>
      <c r="I31" s="369">
        <v>10.295999999999999</v>
      </c>
      <c r="J31" s="378">
        <v>3.15</v>
      </c>
      <c r="K31" s="377">
        <v>2</v>
      </c>
      <c r="L31" s="372">
        <f>(G31+I31+(J31*0.4)+(K31*2))*$O$4-((G31-145)*0.15*$O$4)</f>
        <v>1139715.4859999998</v>
      </c>
      <c r="M31" s="373"/>
      <c r="N31" s="375" t="s">
        <v>30</v>
      </c>
      <c r="O31" s="371">
        <v>16</v>
      </c>
      <c r="P31" s="359">
        <v>20</v>
      </c>
      <c r="Q31" s="360"/>
      <c r="T31" s="362"/>
    </row>
    <row r="32" spans="1:20" s="361" customFormat="1" ht="20.100000000000001" customHeight="1" thickBot="1" x14ac:dyDescent="0.35">
      <c r="A32" s="444"/>
      <c r="B32" s="380">
        <v>135</v>
      </c>
      <c r="C32" s="381">
        <v>16</v>
      </c>
      <c r="D32" s="380" t="s">
        <v>37</v>
      </c>
      <c r="E32" s="381">
        <v>5</v>
      </c>
      <c r="F32" s="402">
        <f>VLOOKUP(D32,'[1]טיפוסי דירה'!$B$1:$E$51,2,FALSE)</f>
        <v>6</v>
      </c>
      <c r="G32" s="384">
        <v>154.93</v>
      </c>
      <c r="H32" s="385">
        <f>VLOOKUP(D32,'[1]טיפוסי דירה'!$B$1:$E$51,4,FALSE)</f>
        <v>29.82</v>
      </c>
      <c r="I32" s="386">
        <v>8.9459999999999997</v>
      </c>
      <c r="J32" s="387">
        <v>3.48</v>
      </c>
      <c r="K32" s="380">
        <v>2</v>
      </c>
      <c r="L32" s="388">
        <f>(G32+I32+(J32*0.4)+(K32*2))*$O$4-((G32-145)*0.15*$O$4)</f>
        <v>1138544.9010000001</v>
      </c>
      <c r="M32" s="389"/>
      <c r="N32" s="381" t="s">
        <v>30</v>
      </c>
      <c r="O32" s="380">
        <v>10</v>
      </c>
      <c r="P32" s="359">
        <v>21</v>
      </c>
      <c r="Q32" s="403"/>
      <c r="T32" s="362"/>
    </row>
    <row r="33" spans="1:20" customFormat="1" ht="15" customHeight="1" thickBot="1" x14ac:dyDescent="0.25">
      <c r="A33" s="345"/>
      <c r="B33" s="346"/>
      <c r="C33" s="346"/>
      <c r="D33" s="443" t="s">
        <v>40</v>
      </c>
      <c r="E33" s="443"/>
      <c r="F33" s="443"/>
      <c r="G33" s="313">
        <f>SUMIF(N24:N32,"כן",G24:G32)/COUNTIF(N24:N32,"כן")</f>
        <v>116.80000000000001</v>
      </c>
      <c r="H33" s="314"/>
      <c r="I33" s="315">
        <v>0</v>
      </c>
      <c r="J33" s="316"/>
      <c r="K33" s="317"/>
      <c r="L33" s="316"/>
      <c r="M33" s="317"/>
      <c r="N33" s="318">
        <f>COUNTIF(N24:N32,"כן")/COUNT(C24:C32)</f>
        <v>1</v>
      </c>
      <c r="O33" s="328"/>
      <c r="P33" s="347"/>
      <c r="Q33" s="1"/>
    </row>
    <row r="34" spans="1:20" s="361" customFormat="1" ht="20.100000000000001" customHeight="1" x14ac:dyDescent="0.3">
      <c r="A34" s="444" t="s">
        <v>28</v>
      </c>
      <c r="B34" s="390">
        <v>136</v>
      </c>
      <c r="C34" s="391">
        <v>3</v>
      </c>
      <c r="D34" s="392" t="s">
        <v>33</v>
      </c>
      <c r="E34" s="393">
        <v>1</v>
      </c>
      <c r="F34" s="394">
        <f>VLOOKUP(D34,'[1]טיפוסי דירה'!$B$1:$E$51,2,FALSE)</f>
        <v>5</v>
      </c>
      <c r="G34" s="395">
        <v>125.53</v>
      </c>
      <c r="H34" s="396">
        <v>22.74</v>
      </c>
      <c r="I34" s="397">
        <v>6.8219999999999992</v>
      </c>
      <c r="J34" s="398">
        <v>3.25</v>
      </c>
      <c r="K34" s="390">
        <v>2</v>
      </c>
      <c r="L34" s="399">
        <f>(G34+I34+(J34*0.4)+(K34*2))*$O$4-((G34-125)*0.15*$O$4)</f>
        <v>933566.9850000001</v>
      </c>
      <c r="M34" s="400"/>
      <c r="N34" s="404" t="s">
        <v>30</v>
      </c>
      <c r="O34" s="390">
        <v>18</v>
      </c>
      <c r="P34" s="359">
        <v>22</v>
      </c>
      <c r="Q34" s="360"/>
      <c r="T34" s="362"/>
    </row>
    <row r="35" spans="1:20" s="361" customFormat="1" ht="20.100000000000001" customHeight="1" x14ac:dyDescent="0.3">
      <c r="A35" s="444"/>
      <c r="B35" s="363">
        <v>136</v>
      </c>
      <c r="C35" s="364">
        <v>4</v>
      </c>
      <c r="D35" s="371" t="s">
        <v>34</v>
      </c>
      <c r="E35" s="375">
        <v>1</v>
      </c>
      <c r="F35" s="401">
        <f>VLOOKUP(D35,'[1]טיפוסי דירה'!$B$1:$E$51,2,FALSE)</f>
        <v>3</v>
      </c>
      <c r="G35" s="367">
        <v>80.39</v>
      </c>
      <c r="H35" s="368">
        <f>VLOOKUP(D35,'[1]טיפוסי דירה'!$B$1:$E$51,4,FALSE)</f>
        <v>13.15</v>
      </c>
      <c r="I35" s="369">
        <v>3.9449999999999998</v>
      </c>
      <c r="J35" s="374">
        <v>3.3</v>
      </c>
      <c r="K35" s="366">
        <v>1</v>
      </c>
      <c r="L35" s="372">
        <f>(G35+I35+(J35*0.4)+(K35*2))*$O$4</f>
        <v>594826.82999999996</v>
      </c>
      <c r="M35" s="373"/>
      <c r="N35" s="365" t="s">
        <v>30</v>
      </c>
      <c r="O35" s="363">
        <v>2</v>
      </c>
      <c r="P35" s="359">
        <v>23</v>
      </c>
      <c r="Q35" s="360"/>
      <c r="T35" s="362"/>
    </row>
    <row r="36" spans="1:20" s="361" customFormat="1" ht="20.100000000000001" customHeight="1" x14ac:dyDescent="0.3">
      <c r="A36" s="444"/>
      <c r="B36" s="363">
        <v>136</v>
      </c>
      <c r="C36" s="364">
        <v>5</v>
      </c>
      <c r="D36" s="371" t="s">
        <v>35</v>
      </c>
      <c r="E36" s="375">
        <v>1</v>
      </c>
      <c r="F36" s="401">
        <f>VLOOKUP(D36,'[1]טיפוסי דירה'!$B$1:$E$51,2,FALSE)</f>
        <v>4</v>
      </c>
      <c r="G36" s="367">
        <v>102.6</v>
      </c>
      <c r="H36" s="368">
        <f>VLOOKUP(D36,'[1]טיפוסי דירה'!$B$1:$E$51,4,FALSE)</f>
        <v>14.65</v>
      </c>
      <c r="I36" s="369">
        <v>4.3949999999999996</v>
      </c>
      <c r="J36" s="370">
        <v>3.87</v>
      </c>
      <c r="K36" s="366">
        <v>1</v>
      </c>
      <c r="L36" s="372">
        <f>(G36+I36+(J36*0.4)+(K36*2))*$O$4</f>
        <v>750144.79799999995</v>
      </c>
      <c r="M36" s="373"/>
      <c r="N36" s="365" t="s">
        <v>30</v>
      </c>
      <c r="O36" s="363">
        <v>12</v>
      </c>
      <c r="P36" s="359">
        <v>24</v>
      </c>
      <c r="Q36" s="360"/>
      <c r="T36" s="362"/>
    </row>
    <row r="37" spans="1:20" s="361" customFormat="1" ht="20.100000000000001" customHeight="1" x14ac:dyDescent="0.3">
      <c r="A37" s="444"/>
      <c r="B37" s="363">
        <v>136</v>
      </c>
      <c r="C37" s="364">
        <v>6</v>
      </c>
      <c r="D37" s="371" t="s">
        <v>33</v>
      </c>
      <c r="E37" s="375">
        <v>2</v>
      </c>
      <c r="F37" s="401">
        <f>VLOOKUP(D37,'[1]טיפוסי דירה'!$B$1:$E$51,2,FALSE)</f>
        <v>5</v>
      </c>
      <c r="G37" s="367">
        <v>125.53</v>
      </c>
      <c r="H37" s="368">
        <v>22.74</v>
      </c>
      <c r="I37" s="369">
        <v>6.8219999999999992</v>
      </c>
      <c r="J37" s="370">
        <v>3.39</v>
      </c>
      <c r="K37" s="363">
        <v>2</v>
      </c>
      <c r="L37" s="372">
        <f>(G37+I37+(J37*0.4)+(K37*2))*$O$4-((G37-125)*0.15*$O$4)</f>
        <v>933947.00100000005</v>
      </c>
      <c r="M37" s="373"/>
      <c r="N37" s="365" t="s">
        <v>30</v>
      </c>
      <c r="O37" s="363">
        <v>15</v>
      </c>
      <c r="P37" s="359">
        <v>25</v>
      </c>
      <c r="Q37" s="360"/>
      <c r="S37" s="405"/>
      <c r="T37" s="362"/>
    </row>
    <row r="38" spans="1:20" s="361" customFormat="1" ht="20.100000000000001" customHeight="1" x14ac:dyDescent="0.3">
      <c r="A38" s="444"/>
      <c r="B38" s="363">
        <v>136</v>
      </c>
      <c r="C38" s="364">
        <v>7</v>
      </c>
      <c r="D38" s="371" t="s">
        <v>34</v>
      </c>
      <c r="E38" s="375">
        <v>2</v>
      </c>
      <c r="F38" s="401">
        <f>VLOOKUP(D38,'[1]טיפוסי דירה'!$B$1:$E$51,2,FALSE)</f>
        <v>3</v>
      </c>
      <c r="G38" s="367">
        <v>80.39</v>
      </c>
      <c r="H38" s="368">
        <f>VLOOKUP(D38,'[1]טיפוסי דירה'!$B$1:$E$51,4,FALSE)</f>
        <v>13.15</v>
      </c>
      <c r="I38" s="369">
        <v>3.9449999999999998</v>
      </c>
      <c r="J38" s="374">
        <v>3.15</v>
      </c>
      <c r="K38" s="366">
        <v>1</v>
      </c>
      <c r="L38" s="372">
        <f>(G38+I38+(J38*0.4)+(K38*2))*$O$4</f>
        <v>594419.67000000004</v>
      </c>
      <c r="M38" s="373"/>
      <c r="N38" s="365" t="s">
        <v>30</v>
      </c>
      <c r="O38" s="363">
        <v>17</v>
      </c>
      <c r="P38" s="359">
        <v>26</v>
      </c>
      <c r="Q38" s="360"/>
      <c r="T38" s="362"/>
    </row>
    <row r="39" spans="1:20" s="361" customFormat="1" ht="20.100000000000001" customHeight="1" x14ac:dyDescent="0.3">
      <c r="A39" s="444"/>
      <c r="B39" s="371">
        <v>136</v>
      </c>
      <c r="C39" s="375">
        <v>15</v>
      </c>
      <c r="D39" s="371" t="s">
        <v>36</v>
      </c>
      <c r="E39" s="375">
        <v>5</v>
      </c>
      <c r="F39" s="401">
        <f>VLOOKUP(D39,'[1]טיפוסי דירה'!$B$1:$E$51,2,FALSE)</f>
        <v>6</v>
      </c>
      <c r="G39" s="367">
        <v>153.69999999999999</v>
      </c>
      <c r="H39" s="368">
        <v>36.479999999999997</v>
      </c>
      <c r="I39" s="369">
        <v>10.295999999999999</v>
      </c>
      <c r="J39" s="378">
        <v>3.24</v>
      </c>
      <c r="K39" s="377">
        <v>2</v>
      </c>
      <c r="L39" s="372">
        <f>(G39+I39+(J39*0.4)+(K39*2))*$O$4-((G39-145)*0.15*$O$4)</f>
        <v>1139959.7819999999</v>
      </c>
      <c r="M39" s="373"/>
      <c r="N39" s="376" t="s">
        <v>30</v>
      </c>
      <c r="O39" s="371">
        <v>3</v>
      </c>
      <c r="P39" s="359">
        <v>27</v>
      </c>
      <c r="Q39" s="360"/>
      <c r="T39" s="362"/>
    </row>
    <row r="40" spans="1:20" s="361" customFormat="1" ht="20.100000000000001" customHeight="1" thickBot="1" x14ac:dyDescent="0.35">
      <c r="A40" s="444"/>
      <c r="B40" s="380">
        <v>136</v>
      </c>
      <c r="C40" s="381">
        <v>16</v>
      </c>
      <c r="D40" s="380" t="s">
        <v>37</v>
      </c>
      <c r="E40" s="381">
        <v>5</v>
      </c>
      <c r="F40" s="402">
        <f>VLOOKUP(D40,'[1]טיפוסי דירה'!$B$1:$E$51,2,FALSE)</f>
        <v>6</v>
      </c>
      <c r="G40" s="384">
        <v>154.93</v>
      </c>
      <c r="H40" s="385">
        <f>VLOOKUP(D40,'[1]טיפוסי דירה'!$B$1:$E$51,4,FALSE)</f>
        <v>29.82</v>
      </c>
      <c r="I40" s="386">
        <v>8.9459999999999997</v>
      </c>
      <c r="J40" s="387">
        <v>3.15</v>
      </c>
      <c r="K40" s="380">
        <v>2</v>
      </c>
      <c r="L40" s="388">
        <f>(G40+I40+(J40*0.4)+(K40*2))*$O$4-((G40-145)*0.15*$O$4)</f>
        <v>1137649.149</v>
      </c>
      <c r="M40" s="389"/>
      <c r="N40" s="382" t="s">
        <v>30</v>
      </c>
      <c r="O40" s="380">
        <v>16</v>
      </c>
      <c r="P40" s="359">
        <v>28</v>
      </c>
      <c r="Q40" s="403"/>
      <c r="T40" s="362"/>
    </row>
    <row r="41" spans="1:20" customFormat="1" ht="15" customHeight="1" thickBot="1" x14ac:dyDescent="0.25">
      <c r="A41" s="324" t="s">
        <v>40</v>
      </c>
      <c r="B41" s="323"/>
      <c r="C41" s="325"/>
      <c r="D41" s="319"/>
      <c r="E41" s="325"/>
      <c r="F41" s="319"/>
      <c r="G41" s="313">
        <f>SUMIF(N34:N40,"כן",G34:G40)/COUNTIF(N34:N40,"כן")</f>
        <v>117.58142857142856</v>
      </c>
      <c r="H41" s="319"/>
      <c r="I41" s="321">
        <v>0</v>
      </c>
      <c r="J41" s="322"/>
      <c r="K41" s="323"/>
      <c r="L41" s="322"/>
      <c r="M41" s="323"/>
      <c r="N41" s="318">
        <f>COUNTIF(N34:N40,"כן")/COUNT(C34:C40)</f>
        <v>1</v>
      </c>
      <c r="O41" s="319"/>
      <c r="P41" s="308"/>
      <c r="Q41" s="1"/>
    </row>
    <row r="42" spans="1:20" s="361" customFormat="1" ht="20.100000000000001" customHeight="1" x14ac:dyDescent="0.3">
      <c r="A42" s="441" t="s">
        <v>44</v>
      </c>
      <c r="B42" s="390">
        <v>294</v>
      </c>
      <c r="C42" s="391">
        <v>4</v>
      </c>
      <c r="D42" s="390" t="s">
        <v>48</v>
      </c>
      <c r="E42" s="391">
        <v>1</v>
      </c>
      <c r="F42" s="425">
        <f>VLOOKUP(D42,'[1]טיפוסי דירה'!$B$1:$E$51,2,FALSE)</f>
        <v>5</v>
      </c>
      <c r="G42" s="426">
        <v>125.66</v>
      </c>
      <c r="H42" s="427">
        <f>VLOOKUP(D42,'[1]טיפוסי דירה'!$B$1:$E$51,4,FALSE)</f>
        <v>22.25</v>
      </c>
      <c r="I42" s="428">
        <v>6.6749999999999998</v>
      </c>
      <c r="J42" s="429">
        <v>12.12</v>
      </c>
      <c r="K42" s="390">
        <v>2</v>
      </c>
      <c r="L42" s="430">
        <f>(G42+I42+(J42*0.4)+(K42*2))*$O$4-((G42-125)*0.15*$O$4)</f>
        <v>957396.02400000009</v>
      </c>
      <c r="M42" s="431"/>
      <c r="N42" s="404" t="s">
        <v>30</v>
      </c>
      <c r="O42" s="390">
        <v>4</v>
      </c>
      <c r="P42" s="359">
        <v>29</v>
      </c>
      <c r="Q42" s="379"/>
      <c r="T42" s="362"/>
    </row>
    <row r="43" spans="1:20" s="418" customFormat="1" ht="20.100000000000001" customHeight="1" x14ac:dyDescent="0.3">
      <c r="A43" s="441"/>
      <c r="B43" s="464">
        <v>294</v>
      </c>
      <c r="C43" s="465">
        <v>6</v>
      </c>
      <c r="D43" s="464" t="s">
        <v>50</v>
      </c>
      <c r="E43" s="466">
        <v>1</v>
      </c>
      <c r="F43" s="467">
        <f>VLOOKUP(D43,'[1]טיפוסי דירה'!$B$1:$E$51,2,FALSE)</f>
        <v>4</v>
      </c>
      <c r="G43" s="468">
        <v>104.07</v>
      </c>
      <c r="H43" s="469">
        <f>VLOOKUP(D43,'[1]טיפוסי דירה'!$B$1:$E$51,4,FALSE)</f>
        <v>19.91</v>
      </c>
      <c r="I43" s="470">
        <v>5.9729999999999999</v>
      </c>
      <c r="J43" s="471">
        <v>11.58</v>
      </c>
      <c r="K43" s="472">
        <v>1</v>
      </c>
      <c r="L43" s="473">
        <f>(G43+I43+(J43*0.4)+(K43*2))*$O$4</f>
        <v>791756.54999999993</v>
      </c>
      <c r="M43" s="474"/>
      <c r="N43" s="475" t="s">
        <v>30</v>
      </c>
      <c r="O43" s="472">
        <v>6</v>
      </c>
      <c r="P43" s="476">
        <v>30</v>
      </c>
      <c r="Q43" s="420"/>
      <c r="T43" s="419"/>
    </row>
    <row r="44" spans="1:20" ht="20.100000000000001" customHeight="1" x14ac:dyDescent="0.3">
      <c r="A44" s="441"/>
      <c r="B44" s="151">
        <v>294</v>
      </c>
      <c r="C44" s="146">
        <v>7</v>
      </c>
      <c r="D44" s="151" t="s">
        <v>51</v>
      </c>
      <c r="E44" s="161">
        <v>1</v>
      </c>
      <c r="F44" s="234">
        <f>VLOOKUP(D44,'[1]טיפוסי דירה'!$B$1:$E$51,2,FALSE)</f>
        <v>3</v>
      </c>
      <c r="G44" s="157">
        <v>79.73</v>
      </c>
      <c r="H44" s="158">
        <v>14.05</v>
      </c>
      <c r="I44" s="159">
        <v>4.2149999999999999</v>
      </c>
      <c r="J44" s="233">
        <v>7.07</v>
      </c>
      <c r="K44" s="145">
        <v>1</v>
      </c>
      <c r="L44" s="152">
        <f>(G44+I44+(J44*0.4)+(K44*2))*$O$4</f>
        <v>602413.5780000001</v>
      </c>
      <c r="M44" s="153"/>
      <c r="N44" s="154" t="s">
        <v>30</v>
      </c>
      <c r="O44" s="145">
        <v>7</v>
      </c>
      <c r="P44" s="339">
        <v>31</v>
      </c>
      <c r="Q44" s="86"/>
      <c r="T44" s="110"/>
    </row>
    <row r="45" spans="1:20" s="361" customFormat="1" ht="20.100000000000001" customHeight="1" x14ac:dyDescent="0.3">
      <c r="A45" s="441"/>
      <c r="B45" s="371">
        <v>294</v>
      </c>
      <c r="C45" s="364">
        <v>8</v>
      </c>
      <c r="D45" s="371" t="s">
        <v>48</v>
      </c>
      <c r="E45" s="375">
        <v>2</v>
      </c>
      <c r="F45" s="401">
        <f>VLOOKUP(D45,'[1]טיפוסי דירה'!$B$1:$E$51,2,FALSE)</f>
        <v>5</v>
      </c>
      <c r="G45" s="367">
        <v>125.66</v>
      </c>
      <c r="H45" s="368">
        <f>VLOOKUP(D45,'[1]טיפוסי דירה'!$B$1:$E$51,4,FALSE)</f>
        <v>22.25</v>
      </c>
      <c r="I45" s="369">
        <v>6.6749999999999998</v>
      </c>
      <c r="J45" s="406">
        <v>6.8</v>
      </c>
      <c r="K45" s="363">
        <v>2</v>
      </c>
      <c r="L45" s="372">
        <f>(G45+I45+(J45*0.4)+(K45*2))*$O$4-((G45-125)*0.15*$O$4)</f>
        <v>942955.41600000008</v>
      </c>
      <c r="M45" s="373"/>
      <c r="N45" s="365" t="s">
        <v>30</v>
      </c>
      <c r="O45" s="363">
        <v>8</v>
      </c>
      <c r="P45" s="359">
        <v>32</v>
      </c>
      <c r="Q45" s="360"/>
      <c r="T45" s="362"/>
    </row>
    <row r="46" spans="1:20" s="361" customFormat="1" ht="20.100000000000001" customHeight="1" x14ac:dyDescent="0.3">
      <c r="A46" s="441"/>
      <c r="B46" s="371">
        <v>294</v>
      </c>
      <c r="C46" s="364">
        <v>9</v>
      </c>
      <c r="D46" s="371" t="s">
        <v>49</v>
      </c>
      <c r="E46" s="375">
        <v>2</v>
      </c>
      <c r="F46" s="401">
        <f>VLOOKUP(D46,'[1]טיפוסי דירה'!$B$1:$E$51,2,FALSE)</f>
        <v>4</v>
      </c>
      <c r="G46" s="367">
        <v>104</v>
      </c>
      <c r="H46" s="368">
        <f>VLOOKUP(D46,'[1]טיפוסי דירה'!$B$1:$E$51,4,FALSE)</f>
        <v>19.91</v>
      </c>
      <c r="I46" s="369">
        <v>5.9729999999999999</v>
      </c>
      <c r="J46" s="406">
        <v>6.95</v>
      </c>
      <c r="K46" s="363">
        <v>1</v>
      </c>
      <c r="L46" s="372">
        <f>(G46+I46+(J46*0.4)+(K46*2))*$O$4</f>
        <v>778713.85800000001</v>
      </c>
      <c r="M46" s="373"/>
      <c r="N46" s="365" t="s">
        <v>30</v>
      </c>
      <c r="O46" s="363">
        <v>9</v>
      </c>
      <c r="P46" s="359">
        <v>33</v>
      </c>
      <c r="Q46" s="360"/>
      <c r="T46" s="362"/>
    </row>
    <row r="47" spans="1:20" s="361" customFormat="1" ht="20.100000000000001" customHeight="1" x14ac:dyDescent="0.3">
      <c r="A47" s="441"/>
      <c r="B47" s="371">
        <v>294</v>
      </c>
      <c r="C47" s="364">
        <v>10</v>
      </c>
      <c r="D47" s="371" t="s">
        <v>50</v>
      </c>
      <c r="E47" s="375">
        <v>2</v>
      </c>
      <c r="F47" s="401">
        <f>VLOOKUP(D47,'[1]טיפוסי דירה'!$B$1:$E$51,2,FALSE)</f>
        <v>4</v>
      </c>
      <c r="G47" s="367">
        <v>104.07</v>
      </c>
      <c r="H47" s="368">
        <f>VLOOKUP(D47,'[1]טיפוסי דירה'!$B$1:$E$51,4,FALSE)</f>
        <v>19.91</v>
      </c>
      <c r="I47" s="369">
        <v>5.9729999999999999</v>
      </c>
      <c r="J47" s="406">
        <v>8.77</v>
      </c>
      <c r="K47" s="363">
        <v>2</v>
      </c>
      <c r="L47" s="372">
        <f>(G47+I47+(J47*0.4)+(K47*2))*$O$4</f>
        <v>797701.08599999989</v>
      </c>
      <c r="M47" s="373"/>
      <c r="N47" s="365" t="s">
        <v>30</v>
      </c>
      <c r="O47" s="363">
        <v>10</v>
      </c>
      <c r="P47" s="359">
        <v>34</v>
      </c>
      <c r="Q47" s="360"/>
      <c r="T47" s="362"/>
    </row>
    <row r="48" spans="1:20" ht="20.100000000000001" customHeight="1" x14ac:dyDescent="0.3">
      <c r="A48" s="441"/>
      <c r="B48" s="201">
        <v>294</v>
      </c>
      <c r="C48" s="146">
        <v>11</v>
      </c>
      <c r="D48" s="201" t="s">
        <v>51</v>
      </c>
      <c r="E48" s="202">
        <v>2</v>
      </c>
      <c r="F48" s="203">
        <f>VLOOKUP(D48,'[1]טיפוסי דירה'!$B$1:$E$51,2,FALSE)</f>
        <v>3</v>
      </c>
      <c r="G48" s="147">
        <v>79.73</v>
      </c>
      <c r="H48" s="148">
        <v>14.05</v>
      </c>
      <c r="I48" s="149">
        <v>4.2149999999999999</v>
      </c>
      <c r="J48" s="233">
        <v>11.32</v>
      </c>
      <c r="K48" s="204">
        <v>1</v>
      </c>
      <c r="L48" s="152">
        <f>(G48+I48+(J48*0.4)+(K48*2))*$O$4</f>
        <v>613949.77800000005</v>
      </c>
      <c r="M48" s="153"/>
      <c r="N48" s="154" t="s">
        <v>30</v>
      </c>
      <c r="O48" s="145">
        <v>22</v>
      </c>
      <c r="P48" s="339">
        <v>35</v>
      </c>
      <c r="Q48" s="86"/>
      <c r="T48" s="110"/>
    </row>
    <row r="49" spans="1:20" s="361" customFormat="1" ht="20.100000000000001" customHeight="1" x14ac:dyDescent="0.3">
      <c r="A49" s="441"/>
      <c r="B49" s="371">
        <v>294</v>
      </c>
      <c r="C49" s="364">
        <v>12</v>
      </c>
      <c r="D49" s="371" t="s">
        <v>48</v>
      </c>
      <c r="E49" s="375">
        <v>3</v>
      </c>
      <c r="F49" s="401">
        <f>VLOOKUP(D49,'[1]טיפוסי דירה'!$B$1:$E$51,2,FALSE)</f>
        <v>5</v>
      </c>
      <c r="G49" s="367">
        <v>125.66</v>
      </c>
      <c r="H49" s="368">
        <f>VLOOKUP(D49,'[1]טיפוסי דירה'!$B$1:$E$51,4,FALSE)</f>
        <v>22.25</v>
      </c>
      <c r="I49" s="369">
        <v>6.6749999999999998</v>
      </c>
      <c r="J49" s="406">
        <v>5.85</v>
      </c>
      <c r="K49" s="363">
        <v>2</v>
      </c>
      <c r="L49" s="372">
        <f>(G49+I49+(J49*0.4)+(K49*2))*$O$4-((G49-125)*0.15*$O$4)</f>
        <v>940376.73600000003</v>
      </c>
      <c r="M49" s="373"/>
      <c r="N49" s="365" t="s">
        <v>30</v>
      </c>
      <c r="O49" s="363">
        <v>12</v>
      </c>
      <c r="P49" s="359">
        <v>36</v>
      </c>
      <c r="Q49" s="360"/>
      <c r="T49" s="362"/>
    </row>
    <row r="50" spans="1:20" s="361" customFormat="1" ht="20.100000000000001" customHeight="1" x14ac:dyDescent="0.3">
      <c r="A50" s="441"/>
      <c r="B50" s="371">
        <v>294</v>
      </c>
      <c r="C50" s="364">
        <v>13</v>
      </c>
      <c r="D50" s="371" t="s">
        <v>49</v>
      </c>
      <c r="E50" s="375">
        <v>3</v>
      </c>
      <c r="F50" s="401">
        <f>VLOOKUP(D50,'[1]טיפוסי דירה'!$B$1:$E$51,2,FALSE)</f>
        <v>4</v>
      </c>
      <c r="G50" s="367">
        <v>104</v>
      </c>
      <c r="H50" s="368">
        <f>VLOOKUP(D50,'[1]טיפוסי דירה'!$B$1:$E$51,4,FALSE)</f>
        <v>19.91</v>
      </c>
      <c r="I50" s="369">
        <v>5.9729999999999999</v>
      </c>
      <c r="J50" s="406">
        <v>6.01</v>
      </c>
      <c r="K50" s="363">
        <v>2</v>
      </c>
      <c r="L50" s="372">
        <f>(G50+I50+(J50*0.4)+(K50*2))*$O$4</f>
        <v>789734.32199999993</v>
      </c>
      <c r="M50" s="373"/>
      <c r="N50" s="365" t="s">
        <v>30</v>
      </c>
      <c r="O50" s="363">
        <v>13</v>
      </c>
      <c r="P50" s="359">
        <v>37</v>
      </c>
      <c r="Q50" s="360"/>
      <c r="T50" s="362"/>
    </row>
    <row r="51" spans="1:20" s="361" customFormat="1" ht="20.100000000000001" customHeight="1" x14ac:dyDescent="0.3">
      <c r="A51" s="441"/>
      <c r="B51" s="371">
        <v>294</v>
      </c>
      <c r="C51" s="364">
        <v>14</v>
      </c>
      <c r="D51" s="371" t="s">
        <v>50</v>
      </c>
      <c r="E51" s="375">
        <v>3</v>
      </c>
      <c r="F51" s="401">
        <f>VLOOKUP(D51,'[1]טיפוסי דירה'!$B$1:$E$51,2,FALSE)</f>
        <v>4</v>
      </c>
      <c r="G51" s="367">
        <v>104.07</v>
      </c>
      <c r="H51" s="368">
        <f>VLOOKUP(D51,'[1]טיפוסי דירה'!$B$1:$E$51,4,FALSE)</f>
        <v>19.91</v>
      </c>
      <c r="I51" s="369">
        <v>5.9729999999999999</v>
      </c>
      <c r="J51" s="406">
        <v>10.44</v>
      </c>
      <c r="K51" s="363">
        <v>2</v>
      </c>
      <c r="L51" s="372">
        <f>(G51+I51+(J51*0.4)+(K51*2))*$O$4</f>
        <v>802234.13399999996</v>
      </c>
      <c r="M51" s="373"/>
      <c r="N51" s="365" t="s">
        <v>30</v>
      </c>
      <c r="O51" s="363">
        <v>14</v>
      </c>
      <c r="P51" s="359">
        <v>38</v>
      </c>
      <c r="Q51" s="360"/>
      <c r="T51" s="362"/>
    </row>
    <row r="52" spans="1:20" ht="20.100000000000001" customHeight="1" x14ac:dyDescent="0.3">
      <c r="A52" s="441"/>
      <c r="B52" s="151">
        <v>294</v>
      </c>
      <c r="C52" s="146">
        <v>15</v>
      </c>
      <c r="D52" s="151" t="s">
        <v>51</v>
      </c>
      <c r="E52" s="161">
        <v>3</v>
      </c>
      <c r="F52" s="234">
        <f>VLOOKUP(D52,'[1]טיפוסי דירה'!$B$1:$E$51,2,FALSE)</f>
        <v>3</v>
      </c>
      <c r="G52" s="157">
        <v>79.73</v>
      </c>
      <c r="H52" s="158">
        <v>14.05</v>
      </c>
      <c r="I52" s="159">
        <v>4.2149999999999999</v>
      </c>
      <c r="J52" s="233">
        <v>6.2</v>
      </c>
      <c r="K52" s="145">
        <v>1</v>
      </c>
      <c r="L52" s="152">
        <f>(G52+I52+(J52*0.4)+(K52*2))*$O$4</f>
        <v>600052.05000000005</v>
      </c>
      <c r="M52" s="153"/>
      <c r="N52" s="154" t="s">
        <v>30</v>
      </c>
      <c r="O52" s="145">
        <v>15</v>
      </c>
      <c r="P52" s="339">
        <v>39</v>
      </c>
      <c r="Q52" s="86"/>
      <c r="T52" s="110"/>
    </row>
    <row r="53" spans="1:20" s="361" customFormat="1" ht="20.100000000000001" customHeight="1" x14ac:dyDescent="0.3">
      <c r="A53" s="441"/>
      <c r="B53" s="371">
        <v>294</v>
      </c>
      <c r="C53" s="375">
        <v>16</v>
      </c>
      <c r="D53" s="371" t="s">
        <v>48</v>
      </c>
      <c r="E53" s="375">
        <v>4</v>
      </c>
      <c r="F53" s="401">
        <f>VLOOKUP(D53,'[1]טיפוסי דירה'!$B$1:$E$51,2,FALSE)</f>
        <v>5</v>
      </c>
      <c r="G53" s="367">
        <v>125.66</v>
      </c>
      <c r="H53" s="368">
        <f>VLOOKUP(D53,'[1]טיפוסי דירה'!$B$1:$E$51,4,FALSE)</f>
        <v>22.25</v>
      </c>
      <c r="I53" s="369">
        <v>6.6749999999999998</v>
      </c>
      <c r="J53" s="406">
        <v>5.15</v>
      </c>
      <c r="K53" s="371">
        <v>2</v>
      </c>
      <c r="L53" s="372">
        <f>(G53+I53+(J53*0.4)+(K53*2))*$O$4-((G53-125)*0.15*$O$4)</f>
        <v>938476.65600000008</v>
      </c>
      <c r="M53" s="373"/>
      <c r="N53" s="376" t="s">
        <v>30</v>
      </c>
      <c r="O53" s="371">
        <v>16</v>
      </c>
      <c r="P53" s="359">
        <v>40</v>
      </c>
      <c r="Q53" s="407"/>
      <c r="T53" s="362"/>
    </row>
    <row r="54" spans="1:20" s="361" customFormat="1" ht="20.100000000000001" customHeight="1" x14ac:dyDescent="0.3">
      <c r="A54" s="441"/>
      <c r="B54" s="371">
        <v>294</v>
      </c>
      <c r="C54" s="375">
        <v>17</v>
      </c>
      <c r="D54" s="371" t="s">
        <v>49</v>
      </c>
      <c r="E54" s="375">
        <v>4</v>
      </c>
      <c r="F54" s="401">
        <f>VLOOKUP(D54,'[1]טיפוסי דירה'!$B$1:$E$51,2,FALSE)</f>
        <v>4</v>
      </c>
      <c r="G54" s="367">
        <v>104</v>
      </c>
      <c r="H54" s="368">
        <f>VLOOKUP(D54,'[1]טיפוסי דירה'!$B$1:$E$51,4,FALSE)</f>
        <v>19.91</v>
      </c>
      <c r="I54" s="369">
        <v>5.9729999999999999</v>
      </c>
      <c r="J54" s="406">
        <v>6.95</v>
      </c>
      <c r="K54" s="371">
        <v>2</v>
      </c>
      <c r="L54" s="372">
        <f>(G54+I54+(J54*0.4)+(K54*2))*$O$4</f>
        <v>792285.85800000001</v>
      </c>
      <c r="M54" s="373"/>
      <c r="N54" s="376" t="s">
        <v>30</v>
      </c>
      <c r="O54" s="371">
        <v>17</v>
      </c>
      <c r="P54" s="359">
        <v>41</v>
      </c>
      <c r="Q54" s="407"/>
      <c r="T54" s="362"/>
    </row>
    <row r="55" spans="1:20" s="361" customFormat="1" ht="20.100000000000001" customHeight="1" x14ac:dyDescent="0.3">
      <c r="A55" s="441"/>
      <c r="B55" s="371">
        <v>294</v>
      </c>
      <c r="C55" s="375">
        <v>18</v>
      </c>
      <c r="D55" s="371" t="s">
        <v>50</v>
      </c>
      <c r="E55" s="375">
        <v>4</v>
      </c>
      <c r="F55" s="401">
        <f>VLOOKUP(D55,'[1]טיפוסי דירה'!$B$1:$E$51,2,FALSE)</f>
        <v>4</v>
      </c>
      <c r="G55" s="367">
        <v>104.07</v>
      </c>
      <c r="H55" s="368">
        <f>VLOOKUP(D55,'[1]טיפוסי דירה'!$B$1:$E$51,4,FALSE)</f>
        <v>19.91</v>
      </c>
      <c r="I55" s="369">
        <v>5.9729999999999999</v>
      </c>
      <c r="J55" s="406">
        <v>6.86</v>
      </c>
      <c r="K55" s="371">
        <v>2</v>
      </c>
      <c r="L55" s="372">
        <f>(G55+I55+(J55*0.4)+(K55*2))*$O$4</f>
        <v>792516.58199999994</v>
      </c>
      <c r="M55" s="373"/>
      <c r="N55" s="376" t="s">
        <v>30</v>
      </c>
      <c r="O55" s="371">
        <v>18</v>
      </c>
      <c r="P55" s="359">
        <v>42</v>
      </c>
      <c r="Q55" s="407"/>
      <c r="T55" s="362"/>
    </row>
    <row r="56" spans="1:20" s="423" customFormat="1" ht="20.100000000000001" customHeight="1" x14ac:dyDescent="0.3">
      <c r="A56" s="441"/>
      <c r="B56" s="371">
        <v>294</v>
      </c>
      <c r="C56" s="375">
        <v>20</v>
      </c>
      <c r="D56" s="371" t="s">
        <v>48</v>
      </c>
      <c r="E56" s="375">
        <v>5</v>
      </c>
      <c r="F56" s="401">
        <f>VLOOKUP(D56,'[1]טיפוסי דירה'!$B$1:$E$51,2,FALSE)</f>
        <v>5</v>
      </c>
      <c r="G56" s="367">
        <v>125.66</v>
      </c>
      <c r="H56" s="368">
        <f>VLOOKUP(D56,'[1]טיפוסי דירה'!$B$1:$E$51,4,FALSE)</f>
        <v>22.25</v>
      </c>
      <c r="I56" s="369">
        <v>6.6749999999999998</v>
      </c>
      <c r="J56" s="406">
        <v>5.13</v>
      </c>
      <c r="K56" s="371">
        <v>2</v>
      </c>
      <c r="L56" s="372">
        <f>(G56+I56+(J56*0.4)+(K56*2))*$O$4-((G56-125)*0.15*$O$4)</f>
        <v>938422.36800000002</v>
      </c>
      <c r="M56" s="373"/>
      <c r="N56" s="376" t="s">
        <v>30</v>
      </c>
      <c r="O56" s="371">
        <v>20</v>
      </c>
      <c r="P56" s="422">
        <v>43</v>
      </c>
      <c r="Q56" s="407"/>
      <c r="T56" s="424"/>
    </row>
    <row r="57" spans="1:20" s="361" customFormat="1" ht="20.100000000000001" customHeight="1" x14ac:dyDescent="0.3">
      <c r="A57" s="441"/>
      <c r="B57" s="371">
        <v>294</v>
      </c>
      <c r="C57" s="375">
        <v>24</v>
      </c>
      <c r="D57" s="371" t="s">
        <v>48</v>
      </c>
      <c r="E57" s="375">
        <v>6</v>
      </c>
      <c r="F57" s="401">
        <f>VLOOKUP(D57,'[1]טיפוסי דירה'!$B$1:$E$51,2,FALSE)</f>
        <v>5</v>
      </c>
      <c r="G57" s="367">
        <v>125.66</v>
      </c>
      <c r="H57" s="368">
        <f>VLOOKUP(D57,'[1]טיפוסי דירה'!$B$1:$E$51,4,FALSE)</f>
        <v>22.25</v>
      </c>
      <c r="I57" s="369">
        <v>6.6749999999999998</v>
      </c>
      <c r="J57" s="406">
        <v>11.67</v>
      </c>
      <c r="K57" s="371">
        <v>2</v>
      </c>
      <c r="L57" s="372">
        <f>(G57+I57+(J57*0.4)+(K57*2))*$O$4-((G57-125)*0.15*$O$4)</f>
        <v>956174.54400000011</v>
      </c>
      <c r="M57" s="373"/>
      <c r="N57" s="376" t="s">
        <v>30</v>
      </c>
      <c r="O57" s="371">
        <v>24</v>
      </c>
      <c r="P57" s="359">
        <v>44</v>
      </c>
      <c r="Q57" s="407"/>
      <c r="T57" s="362"/>
    </row>
    <row r="58" spans="1:20" s="361" customFormat="1" ht="20.100000000000001" customHeight="1" thickBot="1" x14ac:dyDescent="0.3">
      <c r="A58" s="441"/>
      <c r="B58" s="408">
        <v>294</v>
      </c>
      <c r="C58" s="381">
        <v>30</v>
      </c>
      <c r="D58" s="408" t="s">
        <v>53</v>
      </c>
      <c r="E58" s="409">
        <v>8</v>
      </c>
      <c r="F58" s="410">
        <f>VLOOKUP(D58,'[1]טיפוסי דירה'!$B$1:$E$51,2,FALSE)</f>
        <v>5</v>
      </c>
      <c r="G58" s="411">
        <v>147.15</v>
      </c>
      <c r="H58" s="412">
        <v>43.27</v>
      </c>
      <c r="I58" s="413">
        <v>11.654</v>
      </c>
      <c r="J58" s="414">
        <v>14.33</v>
      </c>
      <c r="K58" s="380">
        <v>2</v>
      </c>
      <c r="L58" s="388">
        <f>(G58+I58+(J58*0.4)+(K58*2))*$O$4-((G58-125)*0.15*$O$4)</f>
        <v>1121138.811</v>
      </c>
      <c r="M58" s="389"/>
      <c r="N58" s="381" t="s">
        <v>30</v>
      </c>
      <c r="O58" s="380">
        <v>30</v>
      </c>
      <c r="P58" s="359">
        <v>45</v>
      </c>
      <c r="Q58" s="360"/>
      <c r="T58" s="362"/>
    </row>
    <row r="59" spans="1:20" customFormat="1" ht="15" customHeight="1" thickBot="1" x14ac:dyDescent="0.25">
      <c r="A59" s="310" t="s">
        <v>40</v>
      </c>
      <c r="B59" s="311"/>
      <c r="C59" s="312"/>
      <c r="D59" s="311"/>
      <c r="E59" s="312"/>
      <c r="F59" s="311"/>
      <c r="G59" s="313">
        <f>SUMIF(N42:N58,"כן",G42:G58)/COUNTIF(N42:N58,"כן")</f>
        <v>109.91647058823531</v>
      </c>
      <c r="H59" s="320"/>
      <c r="I59" s="321">
        <v>0</v>
      </c>
      <c r="J59" s="322"/>
      <c r="K59" s="323"/>
      <c r="L59" s="322"/>
      <c r="M59" s="323"/>
      <c r="N59" s="318">
        <f>COUNTIF(N42:N58,"כן")/COUNT(C42:C58)</f>
        <v>1</v>
      </c>
      <c r="O59" s="319"/>
      <c r="P59" s="308" t="s">
        <v>81</v>
      </c>
      <c r="Q59" s="1"/>
    </row>
    <row r="60" spans="1:20" s="361" customFormat="1" ht="20.100000000000001" customHeight="1" x14ac:dyDescent="0.3">
      <c r="A60" s="444" t="s">
        <v>44</v>
      </c>
      <c r="B60" s="392">
        <v>295</v>
      </c>
      <c r="C60" s="391">
        <v>4</v>
      </c>
      <c r="D60" s="392" t="s">
        <v>48</v>
      </c>
      <c r="E60" s="393">
        <v>1</v>
      </c>
      <c r="F60" s="394">
        <f>VLOOKUP(D60,'[1]טיפוסי דירה'!$B$1:$E$51,2,FALSE)</f>
        <v>5</v>
      </c>
      <c r="G60" s="395">
        <v>125.66</v>
      </c>
      <c r="H60" s="396">
        <f>VLOOKUP(D60,'[1]טיפוסי דירה'!$B$1:$E$51,4,FALSE)</f>
        <v>22.25</v>
      </c>
      <c r="I60" s="397">
        <v>6.6749999999999998</v>
      </c>
      <c r="J60" s="415">
        <v>6.09</v>
      </c>
      <c r="K60" s="390">
        <v>2</v>
      </c>
      <c r="L60" s="399">
        <f>(G60+I60+(J60*0.4)+(K60*2))*$O$4-((G60-125)*0.15*$O$4)</f>
        <v>941028.19200000004</v>
      </c>
      <c r="M60" s="400"/>
      <c r="N60" s="404" t="s">
        <v>30</v>
      </c>
      <c r="O60" s="390">
        <v>19</v>
      </c>
      <c r="P60" s="359">
        <v>46</v>
      </c>
      <c r="Q60" s="407"/>
      <c r="T60" s="362"/>
    </row>
    <row r="61" spans="1:20" s="361" customFormat="1" ht="20.100000000000001" customHeight="1" x14ac:dyDescent="0.3">
      <c r="A61" s="444"/>
      <c r="B61" s="371">
        <v>295</v>
      </c>
      <c r="C61" s="375">
        <v>5</v>
      </c>
      <c r="D61" s="371" t="s">
        <v>49</v>
      </c>
      <c r="E61" s="375">
        <v>1</v>
      </c>
      <c r="F61" s="401">
        <f>VLOOKUP(D61,'[1]טיפוסי דירה'!$B$1:$E$51,2,FALSE)</f>
        <v>4</v>
      </c>
      <c r="G61" s="367">
        <v>104</v>
      </c>
      <c r="H61" s="368">
        <f>VLOOKUP(D61,'[1]טיפוסי דירה'!$B$1:$E$51,4,FALSE)</f>
        <v>19.91</v>
      </c>
      <c r="I61" s="369">
        <v>5.9729999999999999</v>
      </c>
      <c r="J61" s="406">
        <v>10.039999999999999</v>
      </c>
      <c r="K61" s="371">
        <v>1</v>
      </c>
      <c r="L61" s="372">
        <f>(G61+I61+(J61*0.4)+(K61*2))*$O$4</f>
        <v>787101.35400000005</v>
      </c>
      <c r="M61" s="373"/>
      <c r="N61" s="376" t="s">
        <v>30</v>
      </c>
      <c r="O61" s="371">
        <v>20</v>
      </c>
      <c r="P61" s="359">
        <v>47</v>
      </c>
      <c r="Q61" s="407"/>
      <c r="T61" s="362"/>
    </row>
    <row r="62" spans="1:20" s="418" customFormat="1" ht="20.100000000000001" customHeight="1" x14ac:dyDescent="0.3">
      <c r="A62" s="444"/>
      <c r="B62" s="464">
        <v>295</v>
      </c>
      <c r="C62" s="465">
        <v>6</v>
      </c>
      <c r="D62" s="464" t="s">
        <v>50</v>
      </c>
      <c r="E62" s="466">
        <v>1</v>
      </c>
      <c r="F62" s="467">
        <f>VLOOKUP(D62,'[1]טיפוסי דירה'!$B$1:$E$51,2,FALSE)</f>
        <v>4</v>
      </c>
      <c r="G62" s="468">
        <v>104.07</v>
      </c>
      <c r="H62" s="469">
        <f>VLOOKUP(D62,'[1]טיפוסי דירה'!$B$1:$E$51,4,FALSE)</f>
        <v>19.91</v>
      </c>
      <c r="I62" s="470">
        <v>5.9729999999999999</v>
      </c>
      <c r="J62" s="471">
        <v>5.23</v>
      </c>
      <c r="K62" s="472">
        <v>1</v>
      </c>
      <c r="L62" s="473">
        <f>(G62+I62+(J62*0.4)+(K62*2))*$O$4</f>
        <v>774520.11</v>
      </c>
      <c r="M62" s="474"/>
      <c r="N62" s="475" t="s">
        <v>30</v>
      </c>
      <c r="O62" s="472">
        <v>7</v>
      </c>
      <c r="P62" s="476">
        <v>48</v>
      </c>
      <c r="Q62" s="478"/>
      <c r="T62" s="419"/>
    </row>
    <row r="63" spans="1:20" ht="20.100000000000001" customHeight="1" x14ac:dyDescent="0.3">
      <c r="A63" s="444"/>
      <c r="B63" s="151">
        <v>295</v>
      </c>
      <c r="C63" s="146">
        <v>7</v>
      </c>
      <c r="D63" s="151" t="s">
        <v>51</v>
      </c>
      <c r="E63" s="161">
        <v>1</v>
      </c>
      <c r="F63" s="234">
        <f>VLOOKUP(D63,'[1]טיפוסי דירה'!$B$1:$E$51,2,FALSE)</f>
        <v>3</v>
      </c>
      <c r="G63" s="157">
        <v>79.73</v>
      </c>
      <c r="H63" s="158">
        <v>14.05</v>
      </c>
      <c r="I63" s="159">
        <v>4.2149999999999999</v>
      </c>
      <c r="J63" s="233">
        <v>5.25</v>
      </c>
      <c r="K63" s="145">
        <v>1</v>
      </c>
      <c r="L63" s="152">
        <f>(G63+I63+(J63*0.4)+(K63*2))*$O$4</f>
        <v>597473.37</v>
      </c>
      <c r="M63" s="153"/>
      <c r="N63" s="154" t="s">
        <v>30</v>
      </c>
      <c r="O63" s="145">
        <v>15</v>
      </c>
      <c r="P63" s="339">
        <v>49</v>
      </c>
      <c r="Q63" s="86"/>
      <c r="T63" s="110"/>
    </row>
    <row r="64" spans="1:20" s="361" customFormat="1" ht="20.100000000000001" customHeight="1" x14ac:dyDescent="0.3">
      <c r="A64" s="444"/>
      <c r="B64" s="371">
        <v>295</v>
      </c>
      <c r="C64" s="364">
        <v>8</v>
      </c>
      <c r="D64" s="371" t="s">
        <v>48</v>
      </c>
      <c r="E64" s="375">
        <v>2</v>
      </c>
      <c r="F64" s="401">
        <f>VLOOKUP(D64,'[1]טיפוסי דירה'!$B$1:$E$51,2,FALSE)</f>
        <v>5</v>
      </c>
      <c r="G64" s="367">
        <v>125.66</v>
      </c>
      <c r="H64" s="368">
        <f>VLOOKUP(D64,'[1]טיפוסי דירה'!$B$1:$E$51,4,FALSE)</f>
        <v>22.25</v>
      </c>
      <c r="I64" s="369">
        <v>6.6749999999999998</v>
      </c>
      <c r="J64" s="406">
        <v>6.99</v>
      </c>
      <c r="K64" s="363">
        <v>2</v>
      </c>
      <c r="L64" s="372">
        <f>(G64+I64+(J64*0.4)+(K64*2))*$O$4-((G64-125)*0.15*$O$4)</f>
        <v>943471.152</v>
      </c>
      <c r="M64" s="373"/>
      <c r="N64" s="365" t="s">
        <v>30</v>
      </c>
      <c r="O64" s="363">
        <v>13</v>
      </c>
      <c r="P64" s="359">
        <v>50</v>
      </c>
      <c r="Q64" s="407"/>
      <c r="T64" s="362"/>
    </row>
    <row r="65" spans="1:20" s="361" customFormat="1" ht="20.100000000000001" customHeight="1" x14ac:dyDescent="0.3">
      <c r="A65" s="444"/>
      <c r="B65" s="371">
        <v>295</v>
      </c>
      <c r="C65" s="364">
        <v>9</v>
      </c>
      <c r="D65" s="371" t="s">
        <v>49</v>
      </c>
      <c r="E65" s="375">
        <v>2</v>
      </c>
      <c r="F65" s="401">
        <f>VLOOKUP(D65,'[1]טיפוסי דירה'!$B$1:$E$51,2,FALSE)</f>
        <v>4</v>
      </c>
      <c r="G65" s="367">
        <v>104</v>
      </c>
      <c r="H65" s="368">
        <f>VLOOKUP(D65,'[1]טיפוסי דירה'!$B$1:$E$51,4,FALSE)</f>
        <v>19.91</v>
      </c>
      <c r="I65" s="369">
        <v>5.9729999999999999</v>
      </c>
      <c r="J65" s="406">
        <v>8.89</v>
      </c>
      <c r="K65" s="363">
        <v>1</v>
      </c>
      <c r="L65" s="372">
        <f>(G65+I65+(J65*0.4)+(K65*2))*$O$4</f>
        <v>783979.79399999999</v>
      </c>
      <c r="M65" s="373"/>
      <c r="N65" s="365" t="s">
        <v>30</v>
      </c>
      <c r="O65" s="363">
        <v>27</v>
      </c>
      <c r="P65" s="359">
        <v>51</v>
      </c>
      <c r="Q65" s="403"/>
      <c r="T65" s="362"/>
    </row>
    <row r="66" spans="1:20" s="361" customFormat="1" ht="20.100000000000001" customHeight="1" x14ac:dyDescent="0.3">
      <c r="A66" s="444"/>
      <c r="B66" s="371">
        <v>295</v>
      </c>
      <c r="C66" s="364">
        <v>10</v>
      </c>
      <c r="D66" s="371" t="s">
        <v>50</v>
      </c>
      <c r="E66" s="375">
        <v>2</v>
      </c>
      <c r="F66" s="401">
        <f>VLOOKUP(D66,'[1]טיפוסי דירה'!$B$1:$E$51,2,FALSE)</f>
        <v>4</v>
      </c>
      <c r="G66" s="367">
        <v>104.07</v>
      </c>
      <c r="H66" s="368">
        <f>VLOOKUP(D66,'[1]טיפוסי דירה'!$B$1:$E$51,4,FALSE)</f>
        <v>19.91</v>
      </c>
      <c r="I66" s="369">
        <v>5.9729999999999999</v>
      </c>
      <c r="J66" s="406">
        <v>5.21</v>
      </c>
      <c r="K66" s="363">
        <v>1</v>
      </c>
      <c r="L66" s="372">
        <f>(G66+I66+(J66*0.4)+(K66*2))*$O$4</f>
        <v>774465.82199999993</v>
      </c>
      <c r="M66" s="373"/>
      <c r="N66" s="365" t="s">
        <v>30</v>
      </c>
      <c r="O66" s="363">
        <v>9</v>
      </c>
      <c r="P66" s="359">
        <v>52</v>
      </c>
      <c r="Q66" s="403"/>
      <c r="T66" s="362"/>
    </row>
    <row r="67" spans="1:20" ht="20.100000000000001" customHeight="1" x14ac:dyDescent="0.3">
      <c r="A67" s="444"/>
      <c r="B67" s="201">
        <v>295</v>
      </c>
      <c r="C67" s="146">
        <v>11</v>
      </c>
      <c r="D67" s="201" t="s">
        <v>51</v>
      </c>
      <c r="E67" s="202">
        <v>2</v>
      </c>
      <c r="F67" s="203">
        <f>VLOOKUP(D67,'[1]טיפוסי דירה'!$B$1:$E$51,2,FALSE)</f>
        <v>3</v>
      </c>
      <c r="G67" s="147">
        <v>79.73</v>
      </c>
      <c r="H67" s="148">
        <v>14.05</v>
      </c>
      <c r="I67" s="149">
        <v>4.2149999999999999</v>
      </c>
      <c r="J67" s="233">
        <v>5.01</v>
      </c>
      <c r="K67" s="145">
        <v>1</v>
      </c>
      <c r="L67" s="152">
        <f>(G67+I67+(J67*0.4)+(K67*2))*$O$4</f>
        <v>596821.91400000011</v>
      </c>
      <c r="M67" s="153"/>
      <c r="N67" s="154" t="s">
        <v>30</v>
      </c>
      <c r="O67" s="204">
        <v>16</v>
      </c>
      <c r="P67" s="339">
        <v>53</v>
      </c>
      <c r="Q67" s="86"/>
      <c r="T67" s="110"/>
    </row>
    <row r="68" spans="1:20" s="361" customFormat="1" ht="20.100000000000001" customHeight="1" x14ac:dyDescent="0.3">
      <c r="A68" s="444"/>
      <c r="B68" s="371">
        <v>295</v>
      </c>
      <c r="C68" s="364">
        <v>12</v>
      </c>
      <c r="D68" s="371" t="s">
        <v>48</v>
      </c>
      <c r="E68" s="375">
        <v>3</v>
      </c>
      <c r="F68" s="401">
        <f>VLOOKUP(D68,'[1]טיפוסי דירה'!$B$1:$E$51,2,FALSE)</f>
        <v>5</v>
      </c>
      <c r="G68" s="367">
        <v>125.66</v>
      </c>
      <c r="H68" s="368">
        <f>VLOOKUP(D68,'[1]טיפוסי דירה'!$B$1:$E$51,4,FALSE)</f>
        <v>22.25</v>
      </c>
      <c r="I68" s="369">
        <v>6.6749999999999998</v>
      </c>
      <c r="J68" s="406">
        <v>7.09</v>
      </c>
      <c r="K68" s="363">
        <v>2</v>
      </c>
      <c r="L68" s="372">
        <f>(G68+I68+(J68*0.4)+(K68*2))*$O$4-((G68-125)*0.15*$O$4)</f>
        <v>943742.59200000018</v>
      </c>
      <c r="M68" s="373"/>
      <c r="N68" s="365" t="s">
        <v>30</v>
      </c>
      <c r="O68" s="363">
        <v>24</v>
      </c>
      <c r="P68" s="359">
        <v>54</v>
      </c>
      <c r="Q68" s="407"/>
      <c r="T68" s="362"/>
    </row>
    <row r="69" spans="1:20" s="361" customFormat="1" ht="20.100000000000001" customHeight="1" x14ac:dyDescent="0.3">
      <c r="A69" s="444"/>
      <c r="B69" s="371">
        <v>295</v>
      </c>
      <c r="C69" s="364">
        <v>13</v>
      </c>
      <c r="D69" s="371" t="s">
        <v>49</v>
      </c>
      <c r="E69" s="375">
        <v>3</v>
      </c>
      <c r="F69" s="401">
        <f>VLOOKUP(D69,'[1]טיפוסי דירה'!$B$1:$E$51,2,FALSE)</f>
        <v>4</v>
      </c>
      <c r="G69" s="367">
        <v>104</v>
      </c>
      <c r="H69" s="368">
        <f>VLOOKUP(D69,'[1]טיפוסי דירה'!$B$1:$E$51,4,FALSE)</f>
        <v>19.91</v>
      </c>
      <c r="I69" s="369">
        <v>5.9729999999999999</v>
      </c>
      <c r="J69" s="406">
        <v>6.69</v>
      </c>
      <c r="K69" s="363">
        <v>2</v>
      </c>
      <c r="L69" s="372">
        <f>(G69+I69+(J69*0.4)+(K69*2))*$O$4</f>
        <v>791580.11400000006</v>
      </c>
      <c r="M69" s="373"/>
      <c r="N69" s="365" t="s">
        <v>30</v>
      </c>
      <c r="O69" s="363">
        <v>21</v>
      </c>
      <c r="P69" s="359">
        <v>55</v>
      </c>
      <c r="Q69" s="403"/>
      <c r="T69" s="362"/>
    </row>
    <row r="70" spans="1:20" s="361" customFormat="1" ht="20.100000000000001" customHeight="1" x14ac:dyDescent="0.3">
      <c r="A70" s="444"/>
      <c r="B70" s="371">
        <v>295</v>
      </c>
      <c r="C70" s="364">
        <v>14</v>
      </c>
      <c r="D70" s="371" t="s">
        <v>50</v>
      </c>
      <c r="E70" s="375">
        <v>3</v>
      </c>
      <c r="F70" s="401">
        <f>VLOOKUP(D70,'[1]טיפוסי דירה'!$B$1:$E$51,2,FALSE)</f>
        <v>4</v>
      </c>
      <c r="G70" s="367">
        <v>104.07</v>
      </c>
      <c r="H70" s="368">
        <f>VLOOKUP(D70,'[1]טיפוסי דירה'!$B$1:$E$51,4,FALSE)</f>
        <v>19.91</v>
      </c>
      <c r="I70" s="369">
        <v>5.9729999999999999</v>
      </c>
      <c r="J70" s="406">
        <v>5.37</v>
      </c>
      <c r="K70" s="363">
        <v>2</v>
      </c>
      <c r="L70" s="372">
        <f>(G70+I70+(J70*0.4)+(K70*2))*$O$4</f>
        <v>788472.12599999993</v>
      </c>
      <c r="M70" s="373"/>
      <c r="N70" s="365" t="s">
        <v>30</v>
      </c>
      <c r="O70" s="363">
        <v>11</v>
      </c>
      <c r="P70" s="359">
        <v>56</v>
      </c>
      <c r="Q70" s="403"/>
      <c r="T70" s="362"/>
    </row>
    <row r="71" spans="1:20" ht="20.100000000000001" customHeight="1" x14ac:dyDescent="0.3">
      <c r="A71" s="444"/>
      <c r="B71" s="201">
        <v>295</v>
      </c>
      <c r="C71" s="146">
        <v>15</v>
      </c>
      <c r="D71" s="201" t="s">
        <v>51</v>
      </c>
      <c r="E71" s="202">
        <v>3</v>
      </c>
      <c r="F71" s="203">
        <f>VLOOKUP(D71,'[1]טיפוסי דירה'!$B$1:$E$51,2,FALSE)</f>
        <v>3</v>
      </c>
      <c r="G71" s="147">
        <v>79.73</v>
      </c>
      <c r="H71" s="148">
        <v>14.05</v>
      </c>
      <c r="I71" s="149">
        <v>4.2149999999999999</v>
      </c>
      <c r="J71" s="233">
        <v>11.02</v>
      </c>
      <c r="K71" s="145">
        <v>1</v>
      </c>
      <c r="L71" s="152">
        <f>(G71+I71+(J71*0.4)+(K71*2))*$O$4</f>
        <v>613135.4580000001</v>
      </c>
      <c r="M71" s="153"/>
      <c r="N71" s="154" t="s">
        <v>30</v>
      </c>
      <c r="O71" s="204">
        <v>12</v>
      </c>
      <c r="P71" s="339">
        <v>57</v>
      </c>
      <c r="Q71" s="86"/>
      <c r="T71" s="110"/>
    </row>
    <row r="72" spans="1:20" s="361" customFormat="1" ht="20.100000000000001" customHeight="1" x14ac:dyDescent="0.3">
      <c r="A72" s="444"/>
      <c r="B72" s="371">
        <v>295</v>
      </c>
      <c r="C72" s="375">
        <v>16</v>
      </c>
      <c r="D72" s="371" t="s">
        <v>48</v>
      </c>
      <c r="E72" s="375">
        <v>4</v>
      </c>
      <c r="F72" s="401">
        <f>VLOOKUP(D72,'[1]טיפוסי דירה'!$B$1:$E$51,2,FALSE)</f>
        <v>5</v>
      </c>
      <c r="G72" s="367">
        <v>125.66</v>
      </c>
      <c r="H72" s="368">
        <f>VLOOKUP(D72,'[1]טיפוסי דירה'!$B$1:$E$51,4,FALSE)</f>
        <v>22.25</v>
      </c>
      <c r="I72" s="369">
        <v>6.6749999999999998</v>
      </c>
      <c r="J72" s="406">
        <v>9.74</v>
      </c>
      <c r="K72" s="371">
        <v>2</v>
      </c>
      <c r="L72" s="372">
        <f>(G72+I72+(J72*0.4)+(K72*2))*$O$4-((G72-125)*0.15*$O$4)</f>
        <v>950935.75199999998</v>
      </c>
      <c r="M72" s="373"/>
      <c r="N72" s="376" t="s">
        <v>30</v>
      </c>
      <c r="O72" s="371">
        <v>29</v>
      </c>
      <c r="P72" s="359">
        <v>58</v>
      </c>
      <c r="Q72" s="407"/>
      <c r="T72" s="362"/>
    </row>
    <row r="73" spans="1:20" s="361" customFormat="1" ht="20.100000000000001" customHeight="1" x14ac:dyDescent="0.3">
      <c r="A73" s="444"/>
      <c r="B73" s="371">
        <v>295</v>
      </c>
      <c r="C73" s="375">
        <v>17</v>
      </c>
      <c r="D73" s="371" t="s">
        <v>49</v>
      </c>
      <c r="E73" s="375">
        <v>4</v>
      </c>
      <c r="F73" s="401">
        <f>VLOOKUP(D73,'[1]טיפוסי דירה'!$B$1:$E$51,2,FALSE)</f>
        <v>4</v>
      </c>
      <c r="G73" s="367">
        <v>104</v>
      </c>
      <c r="H73" s="368">
        <f>VLOOKUP(D73,'[1]טיפוסי דירה'!$B$1:$E$51,4,FALSE)</f>
        <v>19.91</v>
      </c>
      <c r="I73" s="369">
        <v>5.9729999999999999</v>
      </c>
      <c r="J73" s="406">
        <v>5.55</v>
      </c>
      <c r="K73" s="371">
        <v>2</v>
      </c>
      <c r="L73" s="372">
        <f>(G73+I73+(J73*0.4)+(K73*2))*$O$4</f>
        <v>788485.69799999997</v>
      </c>
      <c r="M73" s="373"/>
      <c r="N73" s="376" t="s">
        <v>30</v>
      </c>
      <c r="O73" s="371">
        <v>6</v>
      </c>
      <c r="P73" s="359">
        <v>59</v>
      </c>
      <c r="Q73" s="421"/>
      <c r="T73" s="362"/>
    </row>
    <row r="74" spans="1:20" s="361" customFormat="1" ht="20.100000000000001" customHeight="1" x14ac:dyDescent="0.3">
      <c r="A74" s="444"/>
      <c r="B74" s="371">
        <v>295</v>
      </c>
      <c r="C74" s="364">
        <v>18</v>
      </c>
      <c r="D74" s="371" t="s">
        <v>50</v>
      </c>
      <c r="E74" s="375">
        <v>4</v>
      </c>
      <c r="F74" s="401">
        <f>VLOOKUP(D74,'[1]טיפוסי דירה'!$B$1:$E$51,2,FALSE)</f>
        <v>4</v>
      </c>
      <c r="G74" s="367">
        <v>104.07</v>
      </c>
      <c r="H74" s="368">
        <f>VLOOKUP(D74,'[1]טיפוסי דירה'!$B$1:$E$51,4,FALSE)</f>
        <v>19.91</v>
      </c>
      <c r="I74" s="369">
        <v>5.9729999999999999</v>
      </c>
      <c r="J74" s="406">
        <v>5.49</v>
      </c>
      <c r="K74" s="363">
        <v>2</v>
      </c>
      <c r="L74" s="372">
        <f>(G74+I74+(J74*0.4)+(K74*2))*$O$4</f>
        <v>788797.85399999993</v>
      </c>
      <c r="M74" s="373"/>
      <c r="N74" s="365" t="s">
        <v>30</v>
      </c>
      <c r="O74" s="363">
        <v>1</v>
      </c>
      <c r="P74" s="359">
        <v>60</v>
      </c>
      <c r="Q74" s="403"/>
      <c r="T74" s="362"/>
    </row>
    <row r="75" spans="1:20" s="361" customFormat="1" ht="20.100000000000001" customHeight="1" x14ac:dyDescent="0.3">
      <c r="A75" s="444"/>
      <c r="B75" s="371">
        <v>295</v>
      </c>
      <c r="C75" s="375">
        <v>20</v>
      </c>
      <c r="D75" s="371" t="s">
        <v>48</v>
      </c>
      <c r="E75" s="375">
        <v>5</v>
      </c>
      <c r="F75" s="401">
        <f>VLOOKUP(D75,'[1]טיפוסי דירה'!$B$1:$E$51,2,FALSE)</f>
        <v>5</v>
      </c>
      <c r="G75" s="367">
        <v>125.66</v>
      </c>
      <c r="H75" s="368">
        <f>VLOOKUP(D75,'[1]טיפוסי דירה'!$B$1:$E$51,4,FALSE)</f>
        <v>22.25</v>
      </c>
      <c r="I75" s="369">
        <v>6.6749999999999998</v>
      </c>
      <c r="J75" s="406">
        <v>8.6</v>
      </c>
      <c r="K75" s="371">
        <v>2</v>
      </c>
      <c r="L75" s="372">
        <f>(G75+I75+(J75*0.4)+(K75*2))*$O$4-((G75-125)*0.15*$O$4)</f>
        <v>947841.33600000001</v>
      </c>
      <c r="M75" s="373"/>
      <c r="N75" s="376" t="s">
        <v>30</v>
      </c>
      <c r="O75" s="371">
        <v>25</v>
      </c>
      <c r="P75" s="359">
        <v>61</v>
      </c>
      <c r="Q75" s="407"/>
      <c r="T75" s="362"/>
    </row>
    <row r="76" spans="1:20" s="418" customFormat="1" ht="20.100000000000001" customHeight="1" thickBot="1" x14ac:dyDescent="0.3">
      <c r="A76" s="444"/>
      <c r="B76" s="480">
        <v>295</v>
      </c>
      <c r="C76" s="481">
        <v>23</v>
      </c>
      <c r="D76" s="480" t="s">
        <v>51</v>
      </c>
      <c r="E76" s="482">
        <v>5</v>
      </c>
      <c r="F76" s="483">
        <f>VLOOKUP(D76,'[1]טיפוסי דירה'!$B$1:$E$51,2,FALSE)</f>
        <v>3</v>
      </c>
      <c r="G76" s="484">
        <v>79.73</v>
      </c>
      <c r="H76" s="485">
        <v>14.05</v>
      </c>
      <c r="I76" s="486">
        <v>4.2149999999999999</v>
      </c>
      <c r="J76" s="487">
        <v>11.86</v>
      </c>
      <c r="K76" s="488">
        <v>1</v>
      </c>
      <c r="L76" s="489">
        <f>(G76+I76+(J76*0.4)+(K76*2))*$O$4</f>
        <v>615415.554</v>
      </c>
      <c r="M76" s="490"/>
      <c r="N76" s="481" t="s">
        <v>30</v>
      </c>
      <c r="O76" s="488">
        <v>14</v>
      </c>
      <c r="P76" s="476">
        <v>62</v>
      </c>
      <c r="Q76" s="420"/>
      <c r="T76" s="419"/>
    </row>
    <row r="77" spans="1:20" customFormat="1" ht="15" customHeight="1" thickBot="1" x14ac:dyDescent="0.25">
      <c r="A77" s="310" t="s">
        <v>40</v>
      </c>
      <c r="B77" s="311"/>
      <c r="C77" s="312"/>
      <c r="D77" s="311"/>
      <c r="E77" s="312"/>
      <c r="F77" s="311"/>
      <c r="G77" s="313">
        <f>SUMIF(N60:N76,"כן",G60:G76)/COUNTIF(N60:N76,"כן")</f>
        <v>104.67647058823529</v>
      </c>
      <c r="H77" s="314"/>
      <c r="I77" s="315">
        <v>0</v>
      </c>
      <c r="J77" s="316"/>
      <c r="K77" s="317"/>
      <c r="L77" s="316"/>
      <c r="M77" s="317"/>
      <c r="N77" s="318">
        <f>COUNTIF(N60:N76,"כן")/COUNT(C60:C76)</f>
        <v>1</v>
      </c>
      <c r="O77" s="319"/>
      <c r="P77" s="308" t="s">
        <v>81</v>
      </c>
      <c r="Q77" s="1"/>
    </row>
    <row r="78" spans="1:20" s="361" customFormat="1" ht="20.100000000000001" customHeight="1" x14ac:dyDescent="0.3">
      <c r="A78" s="441"/>
      <c r="B78" s="392">
        <v>296</v>
      </c>
      <c r="C78" s="393">
        <v>4</v>
      </c>
      <c r="D78" s="392" t="s">
        <v>48</v>
      </c>
      <c r="E78" s="393">
        <v>1</v>
      </c>
      <c r="F78" s="394">
        <f>VLOOKUP(D78,'[1]טיפוסי דירה'!$B$1:$E$51,2,FALSE)</f>
        <v>5</v>
      </c>
      <c r="G78" s="395">
        <v>125.66</v>
      </c>
      <c r="H78" s="396">
        <f>VLOOKUP(D78,'[1]טיפוסי דירה'!$B$1:$E$51,4,FALSE)</f>
        <v>22.25</v>
      </c>
      <c r="I78" s="397">
        <v>6.6749999999999998</v>
      </c>
      <c r="J78" s="415">
        <v>5.73</v>
      </c>
      <c r="K78" s="432">
        <v>2</v>
      </c>
      <c r="L78" s="399">
        <f>(G78+I78+(J78*0.4)+(K78*2))*$O$4-((G78-125)*0.15*$O$4)</f>
        <v>940051.00800000003</v>
      </c>
      <c r="M78" s="400"/>
      <c r="N78" s="404" t="s">
        <v>30</v>
      </c>
      <c r="O78" s="390">
        <v>31</v>
      </c>
      <c r="P78" s="359">
        <v>63</v>
      </c>
      <c r="Q78" s="407"/>
      <c r="T78" s="362"/>
    </row>
    <row r="79" spans="1:20" s="361" customFormat="1" ht="20.100000000000001" customHeight="1" x14ac:dyDescent="0.3">
      <c r="A79" s="441"/>
      <c r="B79" s="371">
        <v>296</v>
      </c>
      <c r="C79" s="375">
        <v>5</v>
      </c>
      <c r="D79" s="371" t="s">
        <v>49</v>
      </c>
      <c r="E79" s="375">
        <v>1</v>
      </c>
      <c r="F79" s="401">
        <f>VLOOKUP(D79,'[1]טיפוסי דירה'!$B$1:$E$51,2,FALSE)</f>
        <v>4</v>
      </c>
      <c r="G79" s="367">
        <v>104</v>
      </c>
      <c r="H79" s="368">
        <f>VLOOKUP(D79,'[1]טיפוסי דירה'!$B$1:$E$51,4,FALSE)</f>
        <v>19.91</v>
      </c>
      <c r="I79" s="369">
        <v>5.9729999999999999</v>
      </c>
      <c r="J79" s="406">
        <v>11.44</v>
      </c>
      <c r="K79" s="377">
        <v>1</v>
      </c>
      <c r="L79" s="372">
        <f>(G79+I79+(J79*0.4)+(K79*2))*$O$4</f>
        <v>790901.51399999997</v>
      </c>
      <c r="M79" s="373"/>
      <c r="N79" s="376" t="s">
        <v>30</v>
      </c>
      <c r="O79" s="371">
        <v>10</v>
      </c>
      <c r="P79" s="359">
        <v>64</v>
      </c>
      <c r="Q79" s="403"/>
      <c r="T79" s="362"/>
    </row>
    <row r="80" spans="1:20" s="418" customFormat="1" ht="20.100000000000001" customHeight="1" x14ac:dyDescent="0.3">
      <c r="A80" s="441"/>
      <c r="B80" s="464">
        <v>296</v>
      </c>
      <c r="C80" s="466">
        <v>6</v>
      </c>
      <c r="D80" s="464" t="s">
        <v>50</v>
      </c>
      <c r="E80" s="466">
        <v>1</v>
      </c>
      <c r="F80" s="467">
        <f>VLOOKUP(D80,'[1]טיפוסי דירה'!$B$1:$E$51,2,FALSE)</f>
        <v>4</v>
      </c>
      <c r="G80" s="468">
        <v>104.07</v>
      </c>
      <c r="H80" s="469">
        <f>VLOOKUP(D80,'[1]טיפוסי דירה'!$B$1:$E$51,4,FALSE)</f>
        <v>19.91</v>
      </c>
      <c r="I80" s="470">
        <v>5.9729999999999999</v>
      </c>
      <c r="J80" s="471">
        <v>5.87</v>
      </c>
      <c r="K80" s="464">
        <v>2</v>
      </c>
      <c r="L80" s="473">
        <f>(G80+I80+(J80*0.4)+(K80*2))*$O$4</f>
        <v>789829.32599999988</v>
      </c>
      <c r="M80" s="474"/>
      <c r="N80" s="475" t="s">
        <v>30</v>
      </c>
      <c r="O80" s="472">
        <v>28</v>
      </c>
      <c r="P80" s="476">
        <v>65</v>
      </c>
      <c r="Q80" s="477"/>
      <c r="T80" s="419"/>
    </row>
    <row r="81" spans="1:20" ht="20.100000000000001" customHeight="1" x14ac:dyDescent="0.3">
      <c r="A81" s="441"/>
      <c r="B81" s="151">
        <v>296</v>
      </c>
      <c r="C81" s="161">
        <v>7</v>
      </c>
      <c r="D81" s="151" t="s">
        <v>51</v>
      </c>
      <c r="E81" s="161">
        <v>1</v>
      </c>
      <c r="F81" s="234">
        <f>VLOOKUP(D81,'[1]טיפוסי דירה'!$B$1:$E$51,2,FALSE)</f>
        <v>3</v>
      </c>
      <c r="G81" s="157">
        <v>79.73</v>
      </c>
      <c r="H81" s="158">
        <v>14.05</v>
      </c>
      <c r="I81" s="159">
        <v>4.2149999999999999</v>
      </c>
      <c r="J81" s="233">
        <v>5.16</v>
      </c>
      <c r="K81" s="151">
        <v>1</v>
      </c>
      <c r="L81" s="152">
        <f>(G81+I81+(J81*0.4)+(K81*2))*$O$4</f>
        <v>597229.07400000014</v>
      </c>
      <c r="M81" s="153"/>
      <c r="N81" s="154" t="s">
        <v>30</v>
      </c>
      <c r="O81" s="145">
        <v>5</v>
      </c>
      <c r="P81" s="339">
        <v>66</v>
      </c>
      <c r="Q81" s="86"/>
      <c r="T81" s="110"/>
    </row>
    <row r="82" spans="1:20" s="361" customFormat="1" ht="20.100000000000001" customHeight="1" x14ac:dyDescent="0.3">
      <c r="A82" s="441"/>
      <c r="B82" s="371">
        <v>296</v>
      </c>
      <c r="C82" s="375">
        <v>8</v>
      </c>
      <c r="D82" s="371" t="s">
        <v>48</v>
      </c>
      <c r="E82" s="375">
        <v>2</v>
      </c>
      <c r="F82" s="401">
        <f>VLOOKUP(D82,'[1]טיפוסי דירה'!$B$1:$E$51,2,FALSE)</f>
        <v>5</v>
      </c>
      <c r="G82" s="367">
        <v>125.66</v>
      </c>
      <c r="H82" s="368">
        <f>VLOOKUP(D82,'[1]טיפוסי דירה'!$B$1:$E$51,4,FALSE)</f>
        <v>22.25</v>
      </c>
      <c r="I82" s="369">
        <v>6.6749999999999998</v>
      </c>
      <c r="J82" s="406">
        <v>5.86</v>
      </c>
      <c r="K82" s="371">
        <v>2</v>
      </c>
      <c r="L82" s="372">
        <f>(G82+I82+(J82*0.4)+(K82*2))*$O$4-((G82-125)*0.15*$O$4)</f>
        <v>940403.88</v>
      </c>
      <c r="M82" s="373"/>
      <c r="N82" s="365" t="s">
        <v>30</v>
      </c>
      <c r="O82" s="363">
        <v>23</v>
      </c>
      <c r="P82" s="359">
        <v>67</v>
      </c>
      <c r="Q82" s="407"/>
      <c r="T82" s="362"/>
    </row>
    <row r="83" spans="1:20" s="361" customFormat="1" ht="20.100000000000001" customHeight="1" x14ac:dyDescent="0.3">
      <c r="A83" s="441"/>
      <c r="B83" s="371">
        <v>296</v>
      </c>
      <c r="C83" s="375">
        <v>9</v>
      </c>
      <c r="D83" s="371" t="s">
        <v>49</v>
      </c>
      <c r="E83" s="375">
        <v>2</v>
      </c>
      <c r="F83" s="401">
        <f>VLOOKUP(D83,'[1]טיפוסי דירה'!$B$1:$E$51,2,FALSE)</f>
        <v>4</v>
      </c>
      <c r="G83" s="367">
        <v>104</v>
      </c>
      <c r="H83" s="368">
        <f>VLOOKUP(D83,'[1]טיפוסי דירה'!$B$1:$E$51,4,FALSE)</f>
        <v>19.91</v>
      </c>
      <c r="I83" s="369">
        <v>5.9729999999999999</v>
      </c>
      <c r="J83" s="406">
        <v>5.39</v>
      </c>
      <c r="K83" s="377">
        <v>1</v>
      </c>
      <c r="L83" s="372">
        <f t="shared" ref="L83:L88" si="2">(G83+I83+(J83*0.4)+(K83*2))*$O$4</f>
        <v>774479.39400000009</v>
      </c>
      <c r="M83" s="373"/>
      <c r="N83" s="365" t="s">
        <v>30</v>
      </c>
      <c r="O83" s="363">
        <v>17</v>
      </c>
      <c r="P83" s="359">
        <v>68</v>
      </c>
      <c r="Q83" s="403"/>
      <c r="T83" s="362"/>
    </row>
    <row r="84" spans="1:20" s="361" customFormat="1" ht="20.100000000000001" customHeight="1" x14ac:dyDescent="0.3">
      <c r="A84" s="441" t="s">
        <v>44</v>
      </c>
      <c r="B84" s="371">
        <v>296</v>
      </c>
      <c r="C84" s="375">
        <v>10</v>
      </c>
      <c r="D84" s="371" t="s">
        <v>83</v>
      </c>
      <c r="E84" s="375" t="s">
        <v>81</v>
      </c>
      <c r="F84" s="401" t="e">
        <f>VLOOKUP(D84,'[1]טיפוסי דירה'!$B$1:$E$51,2,FALSE)</f>
        <v>#N/A</v>
      </c>
      <c r="G84" s="367">
        <v>104.07</v>
      </c>
      <c r="H84" s="368" t="e">
        <f>VLOOKUP(D84,'[1]טיפוסי דירה'!$B$1:$E$51,4,FALSE)</f>
        <v>#N/A</v>
      </c>
      <c r="I84" s="369">
        <v>5.9729999999999999</v>
      </c>
      <c r="J84" s="406">
        <v>5.0199999999999996</v>
      </c>
      <c r="K84" s="371">
        <v>1</v>
      </c>
      <c r="L84" s="372">
        <f t="shared" si="2"/>
        <v>773950.08599999989</v>
      </c>
      <c r="M84" s="373"/>
      <c r="N84" s="365" t="s">
        <v>30</v>
      </c>
      <c r="O84" s="363">
        <v>18</v>
      </c>
      <c r="P84" s="359">
        <v>69</v>
      </c>
      <c r="Q84" s="403"/>
      <c r="T84" s="362"/>
    </row>
    <row r="85" spans="1:20" ht="20.100000000000001" customHeight="1" x14ac:dyDescent="0.3">
      <c r="A85" s="441"/>
      <c r="B85" s="201">
        <v>296</v>
      </c>
      <c r="C85" s="161">
        <v>11</v>
      </c>
      <c r="D85" s="201" t="s">
        <v>51</v>
      </c>
      <c r="E85" s="202">
        <v>2</v>
      </c>
      <c r="F85" s="203">
        <f>VLOOKUP(D85,'[1]טיפוסי דירה'!$B$1:$E$51,2,FALSE)</f>
        <v>3</v>
      </c>
      <c r="G85" s="147">
        <v>79.73</v>
      </c>
      <c r="H85" s="148">
        <v>14.05</v>
      </c>
      <c r="I85" s="149">
        <v>4.2149999999999999</v>
      </c>
      <c r="J85" s="233">
        <v>8.09</v>
      </c>
      <c r="K85" s="163">
        <v>1</v>
      </c>
      <c r="L85" s="152">
        <f t="shared" si="2"/>
        <v>605182.26600000006</v>
      </c>
      <c r="M85" s="153"/>
      <c r="N85" s="154" t="s">
        <v>30</v>
      </c>
      <c r="O85" s="204">
        <v>4</v>
      </c>
      <c r="P85" s="339">
        <v>70</v>
      </c>
      <c r="Q85" s="86"/>
      <c r="T85" s="110"/>
    </row>
    <row r="86" spans="1:20" s="361" customFormat="1" ht="20.100000000000001" customHeight="1" x14ac:dyDescent="0.3">
      <c r="A86" s="441"/>
      <c r="B86" s="371">
        <v>296</v>
      </c>
      <c r="C86" s="375">
        <v>13</v>
      </c>
      <c r="D86" s="371" t="s">
        <v>49</v>
      </c>
      <c r="E86" s="375">
        <v>3</v>
      </c>
      <c r="F86" s="401">
        <f>VLOOKUP(D86,'[1]טיפוסי דירה'!$B$1:$E$51,2,FALSE)</f>
        <v>4</v>
      </c>
      <c r="G86" s="367">
        <v>104</v>
      </c>
      <c r="H86" s="368">
        <f>VLOOKUP(D86,'[1]טיפוסי דירה'!$B$1:$E$51,4,FALSE)</f>
        <v>19.91</v>
      </c>
      <c r="I86" s="369">
        <v>5.9729999999999999</v>
      </c>
      <c r="J86" s="406">
        <v>5.59</v>
      </c>
      <c r="K86" s="377">
        <v>2</v>
      </c>
      <c r="L86" s="372">
        <f t="shared" si="2"/>
        <v>788594.27399999998</v>
      </c>
      <c r="M86" s="373"/>
      <c r="N86" s="365" t="s">
        <v>30</v>
      </c>
      <c r="O86" s="363">
        <v>19</v>
      </c>
      <c r="P86" s="359">
        <v>71</v>
      </c>
      <c r="Q86" s="403"/>
      <c r="T86" s="362"/>
    </row>
    <row r="87" spans="1:20" s="361" customFormat="1" ht="20.100000000000001" customHeight="1" x14ac:dyDescent="0.3">
      <c r="A87" s="441"/>
      <c r="B87" s="371">
        <v>296</v>
      </c>
      <c r="C87" s="375">
        <v>14</v>
      </c>
      <c r="D87" s="371" t="s">
        <v>50</v>
      </c>
      <c r="E87" s="375">
        <v>3</v>
      </c>
      <c r="F87" s="401">
        <f>VLOOKUP(D87,'[1]טיפוסי דירה'!$B$1:$E$51,2,FALSE)</f>
        <v>4</v>
      </c>
      <c r="G87" s="367">
        <v>104.07</v>
      </c>
      <c r="H87" s="368">
        <f>VLOOKUP(D87,'[1]טיפוסי דירה'!$B$1:$E$51,4,FALSE)</f>
        <v>19.91</v>
      </c>
      <c r="I87" s="369">
        <v>5.9729999999999999</v>
      </c>
      <c r="J87" s="406">
        <v>6.04</v>
      </c>
      <c r="K87" s="371">
        <v>2</v>
      </c>
      <c r="L87" s="372">
        <f t="shared" si="2"/>
        <v>790290.77399999998</v>
      </c>
      <c r="M87" s="373"/>
      <c r="N87" s="365" t="s">
        <v>30</v>
      </c>
      <c r="O87" s="363">
        <v>21</v>
      </c>
      <c r="P87" s="359">
        <v>72</v>
      </c>
      <c r="Q87" s="403"/>
      <c r="T87" s="362"/>
    </row>
    <row r="88" spans="1:20" ht="20.100000000000001" customHeight="1" x14ac:dyDescent="0.3">
      <c r="A88" s="441"/>
      <c r="B88" s="201">
        <v>296</v>
      </c>
      <c r="C88" s="161">
        <v>15</v>
      </c>
      <c r="D88" s="201" t="s">
        <v>51</v>
      </c>
      <c r="E88" s="202">
        <v>3</v>
      </c>
      <c r="F88" s="203">
        <f>VLOOKUP(D88,'[1]טיפוסי דירה'!$B$1:$E$51,2,FALSE)</f>
        <v>3</v>
      </c>
      <c r="G88" s="147">
        <v>79.73</v>
      </c>
      <c r="H88" s="148">
        <v>14.05</v>
      </c>
      <c r="I88" s="149">
        <v>4.2149999999999999</v>
      </c>
      <c r="J88" s="233">
        <v>7.42</v>
      </c>
      <c r="K88" s="163">
        <v>1</v>
      </c>
      <c r="L88" s="152">
        <f t="shared" si="2"/>
        <v>603363.61800000002</v>
      </c>
      <c r="M88" s="153"/>
      <c r="N88" s="154" t="s">
        <v>30</v>
      </c>
      <c r="O88" s="204">
        <v>6</v>
      </c>
      <c r="P88" s="339">
        <v>73</v>
      </c>
      <c r="Q88" s="86"/>
      <c r="T88" s="110"/>
    </row>
    <row r="89" spans="1:20" s="361" customFormat="1" ht="20.100000000000001" customHeight="1" x14ac:dyDescent="0.3">
      <c r="A89" s="441"/>
      <c r="B89" s="371">
        <v>296</v>
      </c>
      <c r="C89" s="375">
        <v>16</v>
      </c>
      <c r="D89" s="371" t="s">
        <v>48</v>
      </c>
      <c r="E89" s="375">
        <v>4</v>
      </c>
      <c r="F89" s="401">
        <f>VLOOKUP(D89,'[1]טיפוסי דירה'!$B$1:$E$51,2,FALSE)</f>
        <v>5</v>
      </c>
      <c r="G89" s="367">
        <v>125.66</v>
      </c>
      <c r="H89" s="368">
        <f>VLOOKUP(D89,'[1]טיפוסי דירה'!$B$1:$E$51,4,FALSE)</f>
        <v>22.25</v>
      </c>
      <c r="I89" s="369">
        <v>6.6749999999999998</v>
      </c>
      <c r="J89" s="406">
        <v>9.16</v>
      </c>
      <c r="K89" s="371">
        <v>2</v>
      </c>
      <c r="L89" s="372">
        <f>(G89+I89+(J89*0.4)+(K89*2))*$O$4-((G89-125)*0.15*$O$4)</f>
        <v>949361.39999999991</v>
      </c>
      <c r="M89" s="373"/>
      <c r="N89" s="365" t="s">
        <v>30</v>
      </c>
      <c r="O89" s="371">
        <v>1</v>
      </c>
      <c r="P89" s="359">
        <v>74</v>
      </c>
      <c r="Q89" s="407"/>
      <c r="T89" s="362"/>
    </row>
    <row r="90" spans="1:20" s="361" customFormat="1" ht="20.100000000000001" customHeight="1" x14ac:dyDescent="0.3">
      <c r="A90" s="441"/>
      <c r="B90" s="371">
        <v>296</v>
      </c>
      <c r="C90" s="375">
        <v>17</v>
      </c>
      <c r="D90" s="371" t="s">
        <v>49</v>
      </c>
      <c r="E90" s="375">
        <v>4</v>
      </c>
      <c r="F90" s="401">
        <f>VLOOKUP(D90,'[1]טיפוסי דירה'!$B$1:$E$51,2,FALSE)</f>
        <v>4</v>
      </c>
      <c r="G90" s="367">
        <v>104</v>
      </c>
      <c r="H90" s="368">
        <f>VLOOKUP(D90,'[1]טיפוסי דירה'!$B$1:$E$51,4,FALSE)</f>
        <v>19.91</v>
      </c>
      <c r="I90" s="369">
        <v>5.9729999999999999</v>
      </c>
      <c r="J90" s="406">
        <v>6.69</v>
      </c>
      <c r="K90" s="377">
        <v>2</v>
      </c>
      <c r="L90" s="372">
        <f>(G90+I90+(J90*0.4)+(K90*2))*$O$4</f>
        <v>791580.11400000006</v>
      </c>
      <c r="M90" s="373"/>
      <c r="N90" s="365" t="s">
        <v>30</v>
      </c>
      <c r="O90" s="371">
        <v>25</v>
      </c>
      <c r="P90" s="359">
        <v>75</v>
      </c>
      <c r="Q90" s="407"/>
      <c r="T90" s="362"/>
    </row>
    <row r="91" spans="1:20" s="361" customFormat="1" ht="20.100000000000001" customHeight="1" x14ac:dyDescent="0.3">
      <c r="A91" s="441"/>
      <c r="B91" s="371">
        <v>296</v>
      </c>
      <c r="C91" s="375">
        <v>18</v>
      </c>
      <c r="D91" s="371" t="s">
        <v>50</v>
      </c>
      <c r="E91" s="375">
        <v>4</v>
      </c>
      <c r="F91" s="401">
        <f>VLOOKUP(D91,'[1]טיפוסי דירה'!$B$1:$E$51,2,FALSE)</f>
        <v>4</v>
      </c>
      <c r="G91" s="367">
        <v>104.07</v>
      </c>
      <c r="H91" s="368">
        <f>VLOOKUP(D91,'[1]טיפוסי דירה'!$B$1:$E$51,4,FALSE)</f>
        <v>19.91</v>
      </c>
      <c r="I91" s="369">
        <v>5.9729999999999999</v>
      </c>
      <c r="J91" s="406">
        <v>6.65</v>
      </c>
      <c r="K91" s="371">
        <v>2</v>
      </c>
      <c r="L91" s="372">
        <f>(G91+I91+(J91*0.4)+(K91*2))*$O$4</f>
        <v>791946.55799999996</v>
      </c>
      <c r="M91" s="373"/>
      <c r="N91" s="376" t="s">
        <v>30</v>
      </c>
      <c r="O91" s="371">
        <v>7</v>
      </c>
      <c r="P91" s="359">
        <v>76</v>
      </c>
      <c r="Q91" s="421"/>
      <c r="T91" s="362"/>
    </row>
    <row r="92" spans="1:20" s="361" customFormat="1" ht="20.100000000000001" customHeight="1" x14ac:dyDescent="0.3">
      <c r="A92" s="441"/>
      <c r="B92" s="371">
        <v>296</v>
      </c>
      <c r="C92" s="375">
        <v>20</v>
      </c>
      <c r="D92" s="371" t="s">
        <v>48</v>
      </c>
      <c r="E92" s="375">
        <v>5</v>
      </c>
      <c r="F92" s="401">
        <f>VLOOKUP(D92,'[1]טיפוסי דירה'!$B$1:$E$51,2,FALSE)</f>
        <v>5</v>
      </c>
      <c r="G92" s="367">
        <v>125.66</v>
      </c>
      <c r="H92" s="368">
        <f>VLOOKUP(D92,'[1]טיפוסי דירה'!$B$1:$E$51,4,FALSE)</f>
        <v>22.25</v>
      </c>
      <c r="I92" s="369">
        <v>6.6749999999999998</v>
      </c>
      <c r="J92" s="406">
        <v>7.03</v>
      </c>
      <c r="K92" s="371">
        <v>2</v>
      </c>
      <c r="L92" s="372">
        <f>(G92+I92+(J92*0.4)+(K92*2))*$O$4-((G92-125)*0.15*$O$4)</f>
        <v>943579.72800000012</v>
      </c>
      <c r="M92" s="373"/>
      <c r="N92" s="376" t="s">
        <v>30</v>
      </c>
      <c r="O92" s="371">
        <v>9</v>
      </c>
      <c r="P92" s="359">
        <v>77</v>
      </c>
      <c r="Q92" s="407"/>
      <c r="T92" s="362"/>
    </row>
    <row r="93" spans="1:20" s="361" customFormat="1" ht="20.100000000000001" customHeight="1" x14ac:dyDescent="0.3">
      <c r="A93" s="441"/>
      <c r="B93" s="392">
        <v>296</v>
      </c>
      <c r="C93" s="393">
        <v>24</v>
      </c>
      <c r="D93" s="392" t="s">
        <v>48</v>
      </c>
      <c r="E93" s="393">
        <v>6</v>
      </c>
      <c r="F93" s="394">
        <f>VLOOKUP(D93,'[1]טיפוסי דירה'!$B$1:$E$51,2,FALSE)</f>
        <v>5</v>
      </c>
      <c r="G93" s="395">
        <v>125.66</v>
      </c>
      <c r="H93" s="396">
        <f>VLOOKUP(D93,'[1]טיפוסי דירה'!$B$1:$E$51,4,FALSE)</f>
        <v>22.25</v>
      </c>
      <c r="I93" s="397">
        <v>6.6749999999999998</v>
      </c>
      <c r="J93" s="415">
        <v>11.3</v>
      </c>
      <c r="K93" s="392">
        <v>2</v>
      </c>
      <c r="L93" s="372">
        <f>(G93+I93+(J93*0.4)+(K93*2))*$O$4-((G93-125)*0.15*$O$4)</f>
        <v>955170.21600000013</v>
      </c>
      <c r="M93" s="400"/>
      <c r="N93" s="416" t="s">
        <v>30</v>
      </c>
      <c r="O93" s="392">
        <v>8</v>
      </c>
      <c r="P93" s="359">
        <v>78</v>
      </c>
      <c r="Q93" s="407"/>
      <c r="T93" s="362"/>
    </row>
    <row r="94" spans="1:20" s="361" customFormat="1" ht="20.100000000000001" customHeight="1" x14ac:dyDescent="0.3">
      <c r="A94" s="441"/>
      <c r="B94" s="371">
        <v>296</v>
      </c>
      <c r="C94" s="364">
        <v>28</v>
      </c>
      <c r="D94" s="371" t="s">
        <v>52</v>
      </c>
      <c r="E94" s="375">
        <v>7</v>
      </c>
      <c r="F94" s="401">
        <f>VLOOKUP(D94,'[1]טיפוסי דירה'!$B$1:$E$51,2,FALSE)</f>
        <v>6</v>
      </c>
      <c r="G94" s="367">
        <v>168.48</v>
      </c>
      <c r="H94" s="368">
        <v>74.66</v>
      </c>
      <c r="I94" s="369">
        <v>16.466000000000001</v>
      </c>
      <c r="J94" s="406">
        <v>6.69</v>
      </c>
      <c r="K94" s="371">
        <v>2</v>
      </c>
      <c r="L94" s="372">
        <f>(G94+I94+(J94*0.4)+(K94*2))*$O$4-((G94-145)*0.15*$O$4)</f>
        <v>1276446.6000000001</v>
      </c>
      <c r="M94" s="373"/>
      <c r="N94" s="365" t="s">
        <v>30</v>
      </c>
      <c r="O94" s="363">
        <v>29</v>
      </c>
      <c r="P94" s="359">
        <v>79</v>
      </c>
      <c r="Q94" s="407"/>
      <c r="T94" s="362"/>
    </row>
    <row r="95" spans="1:20" s="361" customFormat="1" ht="20.100000000000001" customHeight="1" thickBot="1" x14ac:dyDescent="0.35">
      <c r="A95" s="441"/>
      <c r="B95" s="408">
        <v>296</v>
      </c>
      <c r="C95" s="381">
        <v>29</v>
      </c>
      <c r="D95" s="408" t="s">
        <v>52</v>
      </c>
      <c r="E95" s="409">
        <v>7</v>
      </c>
      <c r="F95" s="410">
        <f>VLOOKUP(D95,'[1]טיפוסי דירה'!$B$1:$E$51,2,FALSE)</f>
        <v>6</v>
      </c>
      <c r="G95" s="411">
        <v>168.48</v>
      </c>
      <c r="H95" s="412">
        <v>74.66</v>
      </c>
      <c r="I95" s="413">
        <v>16.466000000000001</v>
      </c>
      <c r="J95" s="414">
        <v>6.2</v>
      </c>
      <c r="K95" s="408">
        <v>2</v>
      </c>
      <c r="L95" s="388">
        <f>(G95+I95+(J95*0.4)+(K95*2))*$O$4-((G95-145)*0.15*$O$4)</f>
        <v>1275116.544</v>
      </c>
      <c r="M95" s="389"/>
      <c r="N95" s="382" t="s">
        <v>30</v>
      </c>
      <c r="O95" s="380">
        <v>30</v>
      </c>
      <c r="P95" s="359">
        <v>80</v>
      </c>
      <c r="Q95" s="407"/>
      <c r="T95" s="362"/>
    </row>
    <row r="96" spans="1:20" customFormat="1" ht="15" customHeight="1" thickBot="1" x14ac:dyDescent="0.25">
      <c r="A96" s="329" t="s">
        <v>40</v>
      </c>
      <c r="B96" s="330"/>
      <c r="C96" s="331"/>
      <c r="D96" s="330"/>
      <c r="E96" s="331"/>
      <c r="F96" s="330"/>
      <c r="G96" s="332">
        <f>SUMIF(N78:N95,"כן",G78:G95)/COUNTIF(N78:N95,"כן")</f>
        <v>113.15166666666669</v>
      </c>
      <c r="H96" s="333"/>
      <c r="I96" s="334">
        <v>0</v>
      </c>
      <c r="J96" s="335"/>
      <c r="K96" s="336"/>
      <c r="L96" s="335"/>
      <c r="M96" s="336"/>
      <c r="N96" s="337">
        <f>COUNTIF(N78:N95,"כן")/COUNT(C78:C95)</f>
        <v>1</v>
      </c>
      <c r="O96" s="338"/>
      <c r="P96" s="309" t="s">
        <v>81</v>
      </c>
      <c r="Q96" s="1"/>
    </row>
    <row r="97" spans="1:20" s="361" customFormat="1" ht="20.100000000000001" customHeight="1" x14ac:dyDescent="0.3">
      <c r="A97" s="444" t="s">
        <v>44</v>
      </c>
      <c r="B97" s="392">
        <v>297</v>
      </c>
      <c r="C97" s="391">
        <v>4</v>
      </c>
      <c r="D97" s="392" t="s">
        <v>48</v>
      </c>
      <c r="E97" s="393">
        <v>1</v>
      </c>
      <c r="F97" s="394">
        <f>VLOOKUP(D97,'[1]טיפוסי דירה'!$B$1:$E$51,2,FALSE)</f>
        <v>5</v>
      </c>
      <c r="G97" s="395">
        <v>125.66</v>
      </c>
      <c r="H97" s="396">
        <f>VLOOKUP(D97,'[1]טיפוסי דירה'!$B$1:$E$51,4,FALSE)</f>
        <v>22.25</v>
      </c>
      <c r="I97" s="397">
        <v>6.6749999999999998</v>
      </c>
      <c r="J97" s="415">
        <v>8.09</v>
      </c>
      <c r="K97" s="390">
        <v>2</v>
      </c>
      <c r="L97" s="399">
        <f>(G97+I97+(J97*0.4)+(K97*2))*$O$4-((G97-125)*0.15*$O$4)</f>
        <v>946456.99199999997</v>
      </c>
      <c r="M97" s="400"/>
      <c r="N97" s="404" t="s">
        <v>30</v>
      </c>
      <c r="O97" s="390">
        <v>4</v>
      </c>
      <c r="P97" s="359">
        <v>81</v>
      </c>
      <c r="Q97" s="407"/>
      <c r="T97" s="362"/>
    </row>
    <row r="98" spans="1:20" s="361" customFormat="1" ht="20.100000000000001" customHeight="1" x14ac:dyDescent="0.3">
      <c r="A98" s="444"/>
      <c r="B98" s="371">
        <v>297</v>
      </c>
      <c r="C98" s="364">
        <v>6</v>
      </c>
      <c r="D98" s="371" t="s">
        <v>50</v>
      </c>
      <c r="E98" s="375">
        <v>1</v>
      </c>
      <c r="F98" s="401">
        <f>VLOOKUP(D98,'[1]טיפוסי דירה'!$B$1:$E$51,2,FALSE)</f>
        <v>4</v>
      </c>
      <c r="G98" s="367">
        <v>104.07</v>
      </c>
      <c r="H98" s="368">
        <f>VLOOKUP(D98,'[1]טיפוסי דירה'!$B$1:$E$51,4,FALSE)</f>
        <v>19.91</v>
      </c>
      <c r="I98" s="369">
        <v>5.9729999999999999</v>
      </c>
      <c r="J98" s="406">
        <v>7.42</v>
      </c>
      <c r="K98" s="363">
        <v>2</v>
      </c>
      <c r="L98" s="372">
        <f>(G98+I98+(J98*0.4)+(K98*2))*$O$4</f>
        <v>794036.64599999995</v>
      </c>
      <c r="M98" s="373"/>
      <c r="N98" s="365" t="s">
        <v>30</v>
      </c>
      <c r="O98" s="363">
        <v>6</v>
      </c>
      <c r="P98" s="359">
        <v>82</v>
      </c>
      <c r="Q98" s="360"/>
      <c r="T98" s="362"/>
    </row>
    <row r="99" spans="1:20" s="361" customFormat="1" ht="20.100000000000001" customHeight="1" x14ac:dyDescent="0.3">
      <c r="A99" s="444"/>
      <c r="B99" s="371">
        <v>297</v>
      </c>
      <c r="C99" s="364">
        <v>7</v>
      </c>
      <c r="D99" s="371" t="s">
        <v>51</v>
      </c>
      <c r="E99" s="375">
        <v>1</v>
      </c>
      <c r="F99" s="401">
        <f>VLOOKUP(D99,'[1]טיפוסי דירה'!$B$1:$E$51,2,FALSE)</f>
        <v>3</v>
      </c>
      <c r="G99" s="367">
        <v>79.73</v>
      </c>
      <c r="H99" s="368">
        <v>14.05</v>
      </c>
      <c r="I99" s="369">
        <v>4.2149999999999999</v>
      </c>
      <c r="J99" s="406">
        <v>6.65</v>
      </c>
      <c r="K99" s="363">
        <v>1</v>
      </c>
      <c r="L99" s="372">
        <f>(G99+I99+(J99*0.4)+(K99*2))*$O$4</f>
        <v>601273.53</v>
      </c>
      <c r="M99" s="373"/>
      <c r="N99" s="365" t="s">
        <v>30</v>
      </c>
      <c r="O99" s="363">
        <v>7</v>
      </c>
      <c r="P99" s="359">
        <v>83</v>
      </c>
      <c r="Q99" s="360"/>
      <c r="T99" s="362"/>
    </row>
    <row r="100" spans="1:20" s="361" customFormat="1" ht="20.100000000000001" customHeight="1" x14ac:dyDescent="0.3">
      <c r="A100" s="444"/>
      <c r="B100" s="371">
        <v>297</v>
      </c>
      <c r="C100" s="364">
        <v>8</v>
      </c>
      <c r="D100" s="371" t="s">
        <v>48</v>
      </c>
      <c r="E100" s="375">
        <v>2</v>
      </c>
      <c r="F100" s="401">
        <f>VLOOKUP(D100,'[1]טיפוסי דירה'!$B$1:$E$51,2,FALSE)</f>
        <v>5</v>
      </c>
      <c r="G100" s="367">
        <v>125.66</v>
      </c>
      <c r="H100" s="368">
        <f>VLOOKUP(D100,'[1]טיפוסי דירה'!$B$1:$E$51,4,FALSE)</f>
        <v>22.25</v>
      </c>
      <c r="I100" s="369">
        <v>6.6749999999999998</v>
      </c>
      <c r="J100" s="406">
        <v>11.3</v>
      </c>
      <c r="K100" s="363">
        <v>2</v>
      </c>
      <c r="L100" s="372">
        <f>(G100+I100+(J100*0.4)+(K100*2))*$O$4-((G100-125)*0.15*$O$4)</f>
        <v>955170.21600000013</v>
      </c>
      <c r="M100" s="373"/>
      <c r="N100" s="365" t="s">
        <v>30</v>
      </c>
      <c r="O100" s="363">
        <v>8</v>
      </c>
      <c r="P100" s="359">
        <v>84</v>
      </c>
      <c r="Q100" s="407"/>
      <c r="T100" s="362"/>
    </row>
    <row r="101" spans="1:20" s="361" customFormat="1" ht="20.100000000000001" customHeight="1" x14ac:dyDescent="0.3">
      <c r="A101" s="444"/>
      <c r="B101" s="371">
        <v>297</v>
      </c>
      <c r="C101" s="364">
        <v>9</v>
      </c>
      <c r="D101" s="371" t="s">
        <v>49</v>
      </c>
      <c r="E101" s="375">
        <v>2</v>
      </c>
      <c r="F101" s="401">
        <f>VLOOKUP(D101,'[1]טיפוסי דירה'!$B$1:$E$51,2,FALSE)</f>
        <v>4</v>
      </c>
      <c r="G101" s="367">
        <v>104</v>
      </c>
      <c r="H101" s="368">
        <f>VLOOKUP(D101,'[1]טיפוסי דירה'!$B$1:$E$51,4,FALSE)</f>
        <v>19.91</v>
      </c>
      <c r="I101" s="369">
        <v>5.9729999999999999</v>
      </c>
      <c r="J101" s="406">
        <v>12.34</v>
      </c>
      <c r="K101" s="363">
        <v>2</v>
      </c>
      <c r="L101" s="372">
        <f t="shared" ref="L101:L106" si="3">(G101+I101+(J101*0.4)+(K101*2))*$O$4</f>
        <v>806916.47399999993</v>
      </c>
      <c r="M101" s="373"/>
      <c r="N101" s="365" t="s">
        <v>30</v>
      </c>
      <c r="O101" s="363">
        <v>16</v>
      </c>
      <c r="P101" s="359">
        <v>85</v>
      </c>
      <c r="Q101" s="360"/>
      <c r="T101" s="362"/>
    </row>
    <row r="102" spans="1:20" s="423" customFormat="1" ht="20.100000000000001" customHeight="1" x14ac:dyDescent="0.3">
      <c r="A102" s="444"/>
      <c r="B102" s="371">
        <v>297</v>
      </c>
      <c r="C102" s="375">
        <v>10</v>
      </c>
      <c r="D102" s="371" t="s">
        <v>50</v>
      </c>
      <c r="E102" s="375">
        <v>2</v>
      </c>
      <c r="F102" s="401">
        <f>VLOOKUP(D102,'[1]טיפוסי דירה'!$B$1:$E$51,2,FALSE)</f>
        <v>4</v>
      </c>
      <c r="G102" s="367">
        <v>104.07</v>
      </c>
      <c r="H102" s="368">
        <f>VLOOKUP(D102,'[1]טיפוסי דירה'!$B$1:$E$51,4,FALSE)</f>
        <v>19.91</v>
      </c>
      <c r="I102" s="369">
        <v>5.9729999999999999</v>
      </c>
      <c r="J102" s="406">
        <v>11.44</v>
      </c>
      <c r="K102" s="371">
        <v>1</v>
      </c>
      <c r="L102" s="372">
        <f t="shared" si="3"/>
        <v>791376.53399999987</v>
      </c>
      <c r="M102" s="373"/>
      <c r="N102" s="376" t="s">
        <v>30</v>
      </c>
      <c r="O102" s="371">
        <v>10</v>
      </c>
      <c r="P102" s="422">
        <v>86</v>
      </c>
      <c r="Q102" s="407"/>
      <c r="T102" s="424"/>
    </row>
    <row r="103" spans="1:20" s="361" customFormat="1" ht="20.100000000000001" customHeight="1" x14ac:dyDescent="0.3">
      <c r="A103" s="444"/>
      <c r="B103" s="371">
        <v>297</v>
      </c>
      <c r="C103" s="364">
        <v>11</v>
      </c>
      <c r="D103" s="371" t="s">
        <v>51</v>
      </c>
      <c r="E103" s="375">
        <v>2</v>
      </c>
      <c r="F103" s="401">
        <f>VLOOKUP(D103,'[1]טיפוסי דירה'!$B$1:$E$51,2,FALSE)</f>
        <v>3</v>
      </c>
      <c r="G103" s="367">
        <v>79.73</v>
      </c>
      <c r="H103" s="368">
        <v>14.05</v>
      </c>
      <c r="I103" s="369">
        <v>4.2149999999999999</v>
      </c>
      <c r="J103" s="406">
        <v>7.34</v>
      </c>
      <c r="K103" s="363">
        <v>1</v>
      </c>
      <c r="L103" s="372">
        <f t="shared" si="3"/>
        <v>603146.46600000001</v>
      </c>
      <c r="M103" s="373"/>
      <c r="N103" s="365" t="s">
        <v>30</v>
      </c>
      <c r="O103" s="363">
        <v>11</v>
      </c>
      <c r="P103" s="359">
        <v>87</v>
      </c>
      <c r="Q103" s="360"/>
      <c r="T103" s="362"/>
    </row>
    <row r="104" spans="1:20" s="361" customFormat="1" ht="20.100000000000001" customHeight="1" x14ac:dyDescent="0.3">
      <c r="A104" s="444"/>
      <c r="B104" s="371">
        <v>297</v>
      </c>
      <c r="C104" s="364">
        <v>13</v>
      </c>
      <c r="D104" s="371" t="s">
        <v>49</v>
      </c>
      <c r="E104" s="375">
        <v>3</v>
      </c>
      <c r="F104" s="401">
        <f>VLOOKUP(D104,'[1]טיפוסי דירה'!$B$1:$E$51,2,FALSE)</f>
        <v>4</v>
      </c>
      <c r="G104" s="367">
        <v>104</v>
      </c>
      <c r="H104" s="368">
        <f>VLOOKUP(D104,'[1]טיפוסי דירה'!$B$1:$E$51,4,FALSE)</f>
        <v>19.91</v>
      </c>
      <c r="I104" s="369">
        <v>5.9729999999999999</v>
      </c>
      <c r="J104" s="406">
        <v>7.19</v>
      </c>
      <c r="K104" s="363">
        <v>2</v>
      </c>
      <c r="L104" s="372">
        <f t="shared" si="3"/>
        <v>792937.31400000001</v>
      </c>
      <c r="M104" s="373"/>
      <c r="N104" s="365" t="s">
        <v>30</v>
      </c>
      <c r="O104" s="363">
        <v>13</v>
      </c>
      <c r="P104" s="359">
        <v>88</v>
      </c>
      <c r="Q104" s="360"/>
      <c r="T104" s="362"/>
    </row>
    <row r="105" spans="1:20" s="361" customFormat="1" ht="20.100000000000001" customHeight="1" x14ac:dyDescent="0.3">
      <c r="A105" s="444"/>
      <c r="B105" s="371">
        <v>297</v>
      </c>
      <c r="C105" s="364">
        <v>14</v>
      </c>
      <c r="D105" s="371" t="s">
        <v>50</v>
      </c>
      <c r="E105" s="375">
        <v>3</v>
      </c>
      <c r="F105" s="401">
        <f>VLOOKUP(D105,'[1]טיפוסי דירה'!$B$1:$E$51,2,FALSE)</f>
        <v>4</v>
      </c>
      <c r="G105" s="367">
        <v>104.07</v>
      </c>
      <c r="H105" s="368">
        <f>VLOOKUP(D105,'[1]טיפוסי דירה'!$B$1:$E$51,4,FALSE)</f>
        <v>19.91</v>
      </c>
      <c r="I105" s="369">
        <v>5.9729999999999999</v>
      </c>
      <c r="J105" s="406">
        <v>7.38</v>
      </c>
      <c r="K105" s="363">
        <v>2</v>
      </c>
      <c r="L105" s="372">
        <f t="shared" si="3"/>
        <v>793928.07</v>
      </c>
      <c r="M105" s="373"/>
      <c r="N105" s="365" t="s">
        <v>30</v>
      </c>
      <c r="O105" s="363">
        <v>14</v>
      </c>
      <c r="P105" s="359">
        <v>89</v>
      </c>
      <c r="Q105" s="360"/>
      <c r="T105" s="362"/>
    </row>
    <row r="106" spans="1:20" s="361" customFormat="1" ht="20.100000000000001" customHeight="1" x14ac:dyDescent="0.3">
      <c r="A106" s="444"/>
      <c r="B106" s="371">
        <v>297</v>
      </c>
      <c r="C106" s="364">
        <v>15</v>
      </c>
      <c r="D106" s="371" t="s">
        <v>51</v>
      </c>
      <c r="E106" s="375">
        <v>3</v>
      </c>
      <c r="F106" s="401">
        <f>VLOOKUP(D106,'[1]טיפוסי דירה'!$B$1:$E$51,2,FALSE)</f>
        <v>3</v>
      </c>
      <c r="G106" s="367">
        <v>79.73</v>
      </c>
      <c r="H106" s="368">
        <v>14.05</v>
      </c>
      <c r="I106" s="369">
        <v>4.2149999999999999</v>
      </c>
      <c r="J106" s="406">
        <v>14.35</v>
      </c>
      <c r="K106" s="363">
        <v>1</v>
      </c>
      <c r="L106" s="372">
        <f t="shared" si="3"/>
        <v>622174.41</v>
      </c>
      <c r="M106" s="373"/>
      <c r="N106" s="365" t="s">
        <v>30</v>
      </c>
      <c r="O106" s="363">
        <v>15</v>
      </c>
      <c r="P106" s="359">
        <v>90</v>
      </c>
      <c r="Q106" s="360"/>
      <c r="T106" s="362"/>
    </row>
    <row r="107" spans="1:20" s="361" customFormat="1" ht="20.100000000000001" customHeight="1" x14ac:dyDescent="0.3">
      <c r="A107" s="444"/>
      <c r="B107" s="371">
        <v>297</v>
      </c>
      <c r="C107" s="375">
        <v>16</v>
      </c>
      <c r="D107" s="371" t="s">
        <v>48</v>
      </c>
      <c r="E107" s="375">
        <v>4</v>
      </c>
      <c r="F107" s="401">
        <f>VLOOKUP(D107,'[1]טיפוסי דירה'!$B$1:$E$51,2,FALSE)</f>
        <v>5</v>
      </c>
      <c r="G107" s="367">
        <v>125.66</v>
      </c>
      <c r="H107" s="368">
        <f>VLOOKUP(D107,'[1]טיפוסי דירה'!$B$1:$E$51,4,FALSE)</f>
        <v>22.25</v>
      </c>
      <c r="I107" s="369">
        <v>6.6749999999999998</v>
      </c>
      <c r="J107" s="406">
        <v>7.03</v>
      </c>
      <c r="K107" s="371">
        <v>2</v>
      </c>
      <c r="L107" s="372">
        <f>(G107+I107+(J107*0.4)+(K107*2))*$O$4-((G107-125)*0.15*$O$4)</f>
        <v>943579.72800000012</v>
      </c>
      <c r="M107" s="373"/>
      <c r="N107" s="376" t="s">
        <v>30</v>
      </c>
      <c r="O107" s="371">
        <v>9</v>
      </c>
      <c r="P107" s="359">
        <v>91</v>
      </c>
      <c r="Q107" s="407"/>
      <c r="T107" s="362"/>
    </row>
    <row r="108" spans="1:20" s="361" customFormat="1" ht="20.100000000000001" customHeight="1" thickBot="1" x14ac:dyDescent="0.35">
      <c r="A108" s="444"/>
      <c r="B108" s="408">
        <v>297</v>
      </c>
      <c r="C108" s="409">
        <v>24</v>
      </c>
      <c r="D108" s="408" t="s">
        <v>48</v>
      </c>
      <c r="E108" s="409">
        <v>6</v>
      </c>
      <c r="F108" s="410">
        <f>VLOOKUP(D108,'[1]טיפוסי דירה'!$B$1:$E$51,2,FALSE)</f>
        <v>5</v>
      </c>
      <c r="G108" s="411">
        <v>125.66</v>
      </c>
      <c r="H108" s="412">
        <f>VLOOKUP(D108,'[1]טיפוסי דירה'!$B$1:$E$51,4,FALSE)</f>
        <v>22.25</v>
      </c>
      <c r="I108" s="413">
        <v>6.6749999999999998</v>
      </c>
      <c r="J108" s="414">
        <v>9.16</v>
      </c>
      <c r="K108" s="408">
        <v>2</v>
      </c>
      <c r="L108" s="388">
        <f>(G108+I108+(J108*0.4)+(K108*2))*$O$4-((G108-125)*0.15*$O$4)</f>
        <v>949361.39999999991</v>
      </c>
      <c r="M108" s="389"/>
      <c r="N108" s="417" t="s">
        <v>30</v>
      </c>
      <c r="O108" s="408">
        <v>1</v>
      </c>
      <c r="P108" s="359">
        <v>92</v>
      </c>
      <c r="Q108" s="407"/>
      <c r="T108" s="362"/>
    </row>
    <row r="109" spans="1:20" customFormat="1" ht="15" customHeight="1" thickBot="1" x14ac:dyDescent="0.25">
      <c r="A109" s="310" t="s">
        <v>40</v>
      </c>
      <c r="B109" s="311"/>
      <c r="C109" s="312"/>
      <c r="D109" s="311"/>
      <c r="E109" s="312"/>
      <c r="F109" s="311"/>
      <c r="G109" s="313">
        <f>SUMIF(N97:N108,"כן",G97:G108)/COUNTIF(N97:N108,"כן")</f>
        <v>105.17000000000002</v>
      </c>
      <c r="H109" s="314"/>
      <c r="I109" s="315">
        <v>0</v>
      </c>
      <c r="J109" s="316"/>
      <c r="K109" s="317"/>
      <c r="L109" s="316"/>
      <c r="M109" s="317"/>
      <c r="N109" s="318">
        <f>COUNTIF(N97:N108,"כן")/COUNT(C97:C108)</f>
        <v>1</v>
      </c>
      <c r="O109" s="319"/>
      <c r="P109" s="308" t="s">
        <v>81</v>
      </c>
      <c r="Q109" s="1"/>
    </row>
    <row r="110" spans="1:20" s="361" customFormat="1" ht="20.100000000000001" customHeight="1" x14ac:dyDescent="0.3">
      <c r="A110" s="441" t="s">
        <v>44</v>
      </c>
      <c r="B110" s="392">
        <v>298</v>
      </c>
      <c r="C110" s="391">
        <v>4</v>
      </c>
      <c r="D110" s="392" t="s">
        <v>48</v>
      </c>
      <c r="E110" s="393">
        <v>1</v>
      </c>
      <c r="F110" s="394">
        <f>VLOOKUP(D110,'[1]טיפוסי דירה'!$B$1:$E$51,2,FALSE)</f>
        <v>5</v>
      </c>
      <c r="G110" s="395">
        <v>125.66</v>
      </c>
      <c r="H110" s="396">
        <f>VLOOKUP(D110,'[1]טיפוסי דירה'!$B$1:$E$51,4,FALSE)</f>
        <v>22.25</v>
      </c>
      <c r="I110" s="397">
        <v>6.6749999999999998</v>
      </c>
      <c r="J110" s="415">
        <v>9.09</v>
      </c>
      <c r="K110" s="390">
        <v>2</v>
      </c>
      <c r="L110" s="399">
        <f>(G110+I110+(J110*0.4)+(K110*2))*$O$4-((G110-125)*0.15*$O$4)</f>
        <v>949171.39199999999</v>
      </c>
      <c r="M110" s="400"/>
      <c r="N110" s="404" t="s">
        <v>30</v>
      </c>
      <c r="O110" s="390">
        <v>31</v>
      </c>
      <c r="P110" s="359">
        <v>93</v>
      </c>
      <c r="Q110" s="407"/>
      <c r="T110" s="362"/>
    </row>
    <row r="111" spans="1:20" s="361" customFormat="1" ht="20.100000000000001" customHeight="1" x14ac:dyDescent="0.3">
      <c r="A111" s="441"/>
      <c r="B111" s="371">
        <v>298</v>
      </c>
      <c r="C111" s="364">
        <v>5</v>
      </c>
      <c r="D111" s="371" t="s">
        <v>49</v>
      </c>
      <c r="E111" s="375">
        <v>1</v>
      </c>
      <c r="F111" s="401">
        <f>VLOOKUP(D111,'[1]טיפוסי דירה'!$B$1:$E$51,2,FALSE)</f>
        <v>4</v>
      </c>
      <c r="G111" s="367">
        <v>104</v>
      </c>
      <c r="H111" s="368">
        <f>VLOOKUP(D111,'[1]טיפוסי דירה'!$B$1:$E$51,4,FALSE)</f>
        <v>19.91</v>
      </c>
      <c r="I111" s="369">
        <v>5.9729999999999999</v>
      </c>
      <c r="J111" s="406">
        <v>10.11</v>
      </c>
      <c r="K111" s="363">
        <v>2</v>
      </c>
      <c r="L111" s="372">
        <f>(G111+I111+(J111*0.4)+(K111*2))*$O$4</f>
        <v>800863.36199999996</v>
      </c>
      <c r="M111" s="373"/>
      <c r="N111" s="365" t="s">
        <v>30</v>
      </c>
      <c r="O111" s="363">
        <v>23</v>
      </c>
      <c r="P111" s="359">
        <v>94</v>
      </c>
      <c r="Q111" s="360"/>
      <c r="T111" s="362"/>
    </row>
    <row r="112" spans="1:20" s="361" customFormat="1" ht="20.100000000000001" customHeight="1" x14ac:dyDescent="0.3">
      <c r="A112" s="441"/>
      <c r="B112" s="371">
        <v>298</v>
      </c>
      <c r="C112" s="364">
        <v>6</v>
      </c>
      <c r="D112" s="371" t="s">
        <v>50</v>
      </c>
      <c r="E112" s="375">
        <v>1</v>
      </c>
      <c r="F112" s="401">
        <f>VLOOKUP(D112,'[1]טיפוסי דירה'!$B$1:$E$51,2,FALSE)</f>
        <v>4</v>
      </c>
      <c r="G112" s="367">
        <v>104.07</v>
      </c>
      <c r="H112" s="368">
        <f>VLOOKUP(D112,'[1]טיפוסי דירה'!$B$1:$E$51,4,FALSE)</f>
        <v>19.91</v>
      </c>
      <c r="I112" s="369">
        <v>5.9729999999999999</v>
      </c>
      <c r="J112" s="406">
        <v>5.55</v>
      </c>
      <c r="K112" s="363">
        <v>1</v>
      </c>
      <c r="L112" s="372">
        <f>(G112+I112+(J112*0.4)+(K112*2))*$O$4</f>
        <v>775388.71799999999</v>
      </c>
      <c r="M112" s="373"/>
      <c r="N112" s="365" t="s">
        <v>30</v>
      </c>
      <c r="O112" s="363">
        <v>6</v>
      </c>
      <c r="P112" s="359">
        <v>95</v>
      </c>
      <c r="Q112" s="360"/>
      <c r="T112" s="362"/>
    </row>
    <row r="113" spans="1:20" s="361" customFormat="1" ht="20.100000000000001" customHeight="1" x14ac:dyDescent="0.3">
      <c r="A113" s="441"/>
      <c r="B113" s="371">
        <v>298</v>
      </c>
      <c r="C113" s="364">
        <v>7</v>
      </c>
      <c r="D113" s="371" t="s">
        <v>51</v>
      </c>
      <c r="E113" s="375">
        <v>1</v>
      </c>
      <c r="F113" s="401">
        <f>VLOOKUP(D113,'[1]טיפוסי דירה'!$B$1:$E$51,2,FALSE)</f>
        <v>3</v>
      </c>
      <c r="G113" s="367">
        <v>79.73</v>
      </c>
      <c r="H113" s="368">
        <v>14.05</v>
      </c>
      <c r="I113" s="369">
        <v>4.2149999999999999</v>
      </c>
      <c r="J113" s="406">
        <v>12.38</v>
      </c>
      <c r="K113" s="363">
        <v>1</v>
      </c>
      <c r="L113" s="372">
        <f>(G113+I113+(J113*0.4)+(K113*2))*$O$4</f>
        <v>616827.04200000002</v>
      </c>
      <c r="M113" s="373"/>
      <c r="N113" s="365" t="s">
        <v>30</v>
      </c>
      <c r="O113" s="363">
        <v>3</v>
      </c>
      <c r="P113" s="359">
        <v>96</v>
      </c>
      <c r="Q113" s="360"/>
      <c r="T113" s="362"/>
    </row>
    <row r="114" spans="1:20" s="361" customFormat="1" ht="20.100000000000001" customHeight="1" x14ac:dyDescent="0.3">
      <c r="A114" s="441"/>
      <c r="B114" s="371">
        <v>298</v>
      </c>
      <c r="C114" s="364">
        <v>8</v>
      </c>
      <c r="D114" s="371" t="s">
        <v>48</v>
      </c>
      <c r="E114" s="375">
        <v>2</v>
      </c>
      <c r="F114" s="401">
        <f>VLOOKUP(D114,'[1]טיפוסי דירה'!$B$1:$E$51,2,FALSE)</f>
        <v>5</v>
      </c>
      <c r="G114" s="367">
        <v>125.66</v>
      </c>
      <c r="H114" s="368">
        <f>VLOOKUP(D114,'[1]טיפוסי דירה'!$B$1:$E$51,4,FALSE)</f>
        <v>22.25</v>
      </c>
      <c r="I114" s="369">
        <v>6.6749999999999998</v>
      </c>
      <c r="J114" s="406">
        <v>9.83</v>
      </c>
      <c r="K114" s="363">
        <v>2</v>
      </c>
      <c r="L114" s="372">
        <f>(G114+I114+(J114*0.4)+(K114*2))*$O$4-((G114-125)*0.15*$O$4)</f>
        <v>951180.04799999995</v>
      </c>
      <c r="M114" s="373"/>
      <c r="N114" s="365" t="s">
        <v>30</v>
      </c>
      <c r="O114" s="363">
        <v>29</v>
      </c>
      <c r="P114" s="359">
        <v>97</v>
      </c>
      <c r="Q114" s="407"/>
      <c r="T114" s="362"/>
    </row>
    <row r="115" spans="1:20" s="361" customFormat="1" ht="20.100000000000001" customHeight="1" x14ac:dyDescent="0.3">
      <c r="A115" s="441"/>
      <c r="B115" s="371">
        <v>298</v>
      </c>
      <c r="C115" s="364">
        <v>9</v>
      </c>
      <c r="D115" s="371" t="s">
        <v>49</v>
      </c>
      <c r="E115" s="375">
        <v>2</v>
      </c>
      <c r="F115" s="401">
        <f>VLOOKUP(D115,'[1]טיפוסי דירה'!$B$1:$E$51,2,FALSE)</f>
        <v>4</v>
      </c>
      <c r="G115" s="367">
        <v>104</v>
      </c>
      <c r="H115" s="368">
        <f>VLOOKUP(D115,'[1]טיפוסי דירה'!$B$1:$E$51,4,FALSE)</f>
        <v>19.91</v>
      </c>
      <c r="I115" s="369">
        <v>5.9729999999999999</v>
      </c>
      <c r="J115" s="406">
        <v>5.21</v>
      </c>
      <c r="K115" s="363">
        <v>2</v>
      </c>
      <c r="L115" s="372">
        <f>(G115+I115+(J115*0.4)+(K115*2))*$O$4</f>
        <v>787562.80200000003</v>
      </c>
      <c r="M115" s="373"/>
      <c r="N115" s="365" t="s">
        <v>30</v>
      </c>
      <c r="O115" s="363">
        <v>9</v>
      </c>
      <c r="P115" s="359">
        <v>98</v>
      </c>
      <c r="Q115" s="360"/>
      <c r="T115" s="362"/>
    </row>
    <row r="116" spans="1:20" s="361" customFormat="1" ht="20.100000000000001" customHeight="1" x14ac:dyDescent="0.3">
      <c r="A116" s="441"/>
      <c r="B116" s="371">
        <v>298</v>
      </c>
      <c r="C116" s="364">
        <v>10</v>
      </c>
      <c r="D116" s="371" t="s">
        <v>50</v>
      </c>
      <c r="E116" s="375">
        <v>2</v>
      </c>
      <c r="F116" s="401">
        <f>VLOOKUP(D116,'[1]טיפוסי דירה'!$B$1:$E$51,2,FALSE)</f>
        <v>4</v>
      </c>
      <c r="G116" s="367">
        <v>104.07</v>
      </c>
      <c r="H116" s="368">
        <f>VLOOKUP(D116,'[1]טיפוסי דירה'!$B$1:$E$51,4,FALSE)</f>
        <v>19.91</v>
      </c>
      <c r="I116" s="369">
        <v>5.9729999999999999</v>
      </c>
      <c r="J116" s="406">
        <v>5.21</v>
      </c>
      <c r="K116" s="363">
        <v>1</v>
      </c>
      <c r="L116" s="372">
        <f>(G116+I116+(J116*0.4)+(K116*2))*$O$4</f>
        <v>774465.82199999993</v>
      </c>
      <c r="M116" s="373"/>
      <c r="N116" s="365" t="s">
        <v>30</v>
      </c>
      <c r="O116" s="363">
        <v>10</v>
      </c>
      <c r="P116" s="359">
        <v>99</v>
      </c>
      <c r="Q116" s="360"/>
      <c r="T116" s="362"/>
    </row>
    <row r="117" spans="1:20" s="418" customFormat="1" ht="20.100000000000001" customHeight="1" x14ac:dyDescent="0.3">
      <c r="A117" s="441"/>
      <c r="B117" s="464">
        <v>298</v>
      </c>
      <c r="C117" s="465">
        <v>11</v>
      </c>
      <c r="D117" s="464" t="s">
        <v>51</v>
      </c>
      <c r="E117" s="466">
        <v>2</v>
      </c>
      <c r="F117" s="467">
        <f>VLOOKUP(D117,'[1]טיפוסי דירה'!$B$1:$E$51,2,FALSE)</f>
        <v>3</v>
      </c>
      <c r="G117" s="468">
        <v>79.73</v>
      </c>
      <c r="H117" s="469">
        <v>14.05</v>
      </c>
      <c r="I117" s="470">
        <v>4.2149999999999999</v>
      </c>
      <c r="J117" s="471">
        <v>11.02</v>
      </c>
      <c r="K117" s="472">
        <v>1</v>
      </c>
      <c r="L117" s="473">
        <f>(G117+I117+(J117*0.4)+(K117*2))*$O$4</f>
        <v>613135.4580000001</v>
      </c>
      <c r="M117" s="474"/>
      <c r="N117" s="475" t="s">
        <v>30</v>
      </c>
      <c r="O117" s="472">
        <v>12</v>
      </c>
      <c r="P117" s="476">
        <v>100</v>
      </c>
      <c r="Q117" s="420"/>
      <c r="T117" s="419"/>
    </row>
    <row r="118" spans="1:20" s="361" customFormat="1" ht="20.100000000000001" customHeight="1" x14ac:dyDescent="0.3">
      <c r="A118" s="441"/>
      <c r="B118" s="371">
        <v>298</v>
      </c>
      <c r="C118" s="375">
        <v>12</v>
      </c>
      <c r="D118" s="371" t="s">
        <v>48</v>
      </c>
      <c r="E118" s="375">
        <v>3</v>
      </c>
      <c r="F118" s="401">
        <f>VLOOKUP(D118,'[1]טיפוסי דירה'!$B$1:$E$51,2,FALSE)</f>
        <v>5</v>
      </c>
      <c r="G118" s="367">
        <v>125.66</v>
      </c>
      <c r="H118" s="368">
        <f>VLOOKUP(D118,'[1]טיפוסי דירה'!$B$1:$E$51,4,FALSE)</f>
        <v>22.25</v>
      </c>
      <c r="I118" s="369">
        <v>6.6749999999999998</v>
      </c>
      <c r="J118" s="406">
        <v>9.81</v>
      </c>
      <c r="K118" s="371">
        <v>2</v>
      </c>
      <c r="L118" s="372">
        <f>(G118+I118+(J118*0.4)+(K118*2))*$O$4-((G118-125)*0.15*$O$4)</f>
        <v>951125.76000000013</v>
      </c>
      <c r="M118" s="373"/>
      <c r="N118" s="376" t="s">
        <v>30</v>
      </c>
      <c r="O118" s="371">
        <v>30</v>
      </c>
      <c r="P118" s="359">
        <v>101</v>
      </c>
      <c r="Q118" s="407"/>
      <c r="T118" s="362"/>
    </row>
    <row r="119" spans="1:20" s="361" customFormat="1" ht="20.100000000000001" customHeight="1" x14ac:dyDescent="0.3">
      <c r="A119" s="441"/>
      <c r="B119" s="371">
        <v>298</v>
      </c>
      <c r="C119" s="364">
        <v>13</v>
      </c>
      <c r="D119" s="371" t="s">
        <v>49</v>
      </c>
      <c r="E119" s="375">
        <v>3</v>
      </c>
      <c r="F119" s="401">
        <f>VLOOKUP(D119,'[1]טיפוסי דירה'!$B$1:$E$51,2,FALSE)</f>
        <v>4</v>
      </c>
      <c r="G119" s="367">
        <v>104</v>
      </c>
      <c r="H119" s="368">
        <f>VLOOKUP(D119,'[1]טיפוסי דירה'!$B$1:$E$51,4,FALSE)</f>
        <v>19.91</v>
      </c>
      <c r="I119" s="369">
        <v>5.9729999999999999</v>
      </c>
      <c r="J119" s="406">
        <v>6.99</v>
      </c>
      <c r="K119" s="363">
        <v>2</v>
      </c>
      <c r="L119" s="372">
        <f>(G119+I119+(J119*0.4)+(K119*2))*$O$4</f>
        <v>792394.43400000001</v>
      </c>
      <c r="M119" s="373"/>
      <c r="N119" s="376" t="s">
        <v>30</v>
      </c>
      <c r="O119" s="363">
        <v>13</v>
      </c>
      <c r="P119" s="359">
        <v>102</v>
      </c>
      <c r="Q119" s="360"/>
      <c r="T119" s="362"/>
    </row>
    <row r="120" spans="1:20" s="361" customFormat="1" ht="20.100000000000001" customHeight="1" x14ac:dyDescent="0.3">
      <c r="A120" s="441"/>
      <c r="B120" s="371">
        <v>298</v>
      </c>
      <c r="C120" s="364">
        <v>14</v>
      </c>
      <c r="D120" s="371" t="s">
        <v>50</v>
      </c>
      <c r="E120" s="375">
        <v>3</v>
      </c>
      <c r="F120" s="401">
        <f>VLOOKUP(D120,'[1]טיפוסי דירה'!$B$1:$E$51,2,FALSE)</f>
        <v>4</v>
      </c>
      <c r="G120" s="367">
        <v>104.07</v>
      </c>
      <c r="H120" s="368">
        <f>VLOOKUP(D120,'[1]טיפוסי דירה'!$B$1:$E$51,4,FALSE)</f>
        <v>19.91</v>
      </c>
      <c r="I120" s="369">
        <v>5.9729999999999999</v>
      </c>
      <c r="J120" s="406">
        <v>11.86</v>
      </c>
      <c r="K120" s="363">
        <v>2</v>
      </c>
      <c r="L120" s="372">
        <f>(G120+I120+(J120*0.4)+(K120*2))*$O$4</f>
        <v>806088.58199999994</v>
      </c>
      <c r="M120" s="373"/>
      <c r="N120" s="376" t="s">
        <v>30</v>
      </c>
      <c r="O120" s="363">
        <v>14</v>
      </c>
      <c r="P120" s="359">
        <v>103</v>
      </c>
      <c r="Q120" s="360"/>
      <c r="T120" s="362"/>
    </row>
    <row r="121" spans="1:20" s="361" customFormat="1" ht="20.100000000000001" customHeight="1" x14ac:dyDescent="0.3">
      <c r="A121" s="441"/>
      <c r="B121" s="371">
        <v>298</v>
      </c>
      <c r="C121" s="364">
        <v>15</v>
      </c>
      <c r="D121" s="371" t="s">
        <v>51</v>
      </c>
      <c r="E121" s="375">
        <v>3</v>
      </c>
      <c r="F121" s="401">
        <f>VLOOKUP(D121,'[1]טיפוסי דירה'!$B$1:$E$51,2,FALSE)</f>
        <v>3</v>
      </c>
      <c r="G121" s="367">
        <v>79.73</v>
      </c>
      <c r="H121" s="368">
        <v>14.05</v>
      </c>
      <c r="I121" s="369">
        <v>4.2149999999999999</v>
      </c>
      <c r="J121" s="406">
        <v>10.039999999999999</v>
      </c>
      <c r="K121" s="363">
        <v>1</v>
      </c>
      <c r="L121" s="372">
        <f>(G121+I121+(J121*0.4)+(K121*2))*$O$4</f>
        <v>610475.34600000014</v>
      </c>
      <c r="M121" s="373"/>
      <c r="N121" s="376" t="s">
        <v>30</v>
      </c>
      <c r="O121" s="363">
        <v>22</v>
      </c>
      <c r="P121" s="359">
        <v>104</v>
      </c>
      <c r="Q121" s="360"/>
      <c r="T121" s="362"/>
    </row>
    <row r="122" spans="1:20" s="361" customFormat="1" ht="20.100000000000001" customHeight="1" thickBot="1" x14ac:dyDescent="0.35">
      <c r="A122" s="441"/>
      <c r="B122" s="408">
        <v>298</v>
      </c>
      <c r="C122" s="409">
        <v>16</v>
      </c>
      <c r="D122" s="408" t="s">
        <v>48</v>
      </c>
      <c r="E122" s="409">
        <v>4</v>
      </c>
      <c r="F122" s="410">
        <f>VLOOKUP(D122,'[1]טיפוסי דירה'!$B$1:$E$51,2,FALSE)</f>
        <v>5</v>
      </c>
      <c r="G122" s="411">
        <v>125.66</v>
      </c>
      <c r="H122" s="412">
        <f>VLOOKUP(D122,'[1]טיפוסי דירה'!$B$1:$E$51,4,FALSE)</f>
        <v>22.25</v>
      </c>
      <c r="I122" s="413">
        <v>6.6749999999999998</v>
      </c>
      <c r="J122" s="414">
        <v>5.01</v>
      </c>
      <c r="K122" s="408">
        <v>2</v>
      </c>
      <c r="L122" s="388">
        <f>(G122+I122+(J122*0.4)+(K122*2))*$O$4-((G122-125)*0.15*$O$4)</f>
        <v>938096.64000000001</v>
      </c>
      <c r="M122" s="389"/>
      <c r="N122" s="417" t="s">
        <v>30</v>
      </c>
      <c r="O122" s="408">
        <v>16</v>
      </c>
      <c r="P122" s="359">
        <v>105</v>
      </c>
      <c r="Q122" s="407"/>
      <c r="T122" s="362"/>
    </row>
    <row r="123" spans="1:20" customFormat="1" ht="15" customHeight="1" thickBot="1" x14ac:dyDescent="0.25">
      <c r="A123" s="310" t="s">
        <v>40</v>
      </c>
      <c r="B123" s="311"/>
      <c r="C123" s="312"/>
      <c r="D123" s="311"/>
      <c r="E123" s="312"/>
      <c r="F123" s="311"/>
      <c r="G123" s="313">
        <f>SUMIF(N110:N122,"כן",G110:G122)/COUNTIF(N110:N122,"כן")</f>
        <v>105.08</v>
      </c>
      <c r="H123" s="314"/>
      <c r="I123" s="315">
        <v>0</v>
      </c>
      <c r="J123" s="316"/>
      <c r="K123" s="317"/>
      <c r="L123" s="316"/>
      <c r="M123" s="317"/>
      <c r="N123" s="318">
        <f>COUNTIF(N110:N122,"כן")/COUNT(C110:C122)</f>
        <v>1</v>
      </c>
      <c r="O123" s="319"/>
      <c r="P123" s="308"/>
      <c r="Q123" s="1"/>
    </row>
    <row r="124" spans="1:20" s="361" customFormat="1" ht="20.100000000000001" customHeight="1" x14ac:dyDescent="0.3">
      <c r="A124" s="441" t="s">
        <v>44</v>
      </c>
      <c r="B124" s="392">
        <v>299</v>
      </c>
      <c r="C124" s="393">
        <v>4</v>
      </c>
      <c r="D124" s="392" t="s">
        <v>48</v>
      </c>
      <c r="E124" s="393">
        <v>1</v>
      </c>
      <c r="F124" s="394">
        <f>VLOOKUP(D124,'[1]טיפוסי דירה'!$B$1:$E$51,2,FALSE)</f>
        <v>5</v>
      </c>
      <c r="G124" s="395">
        <v>125.66</v>
      </c>
      <c r="H124" s="396">
        <f>VLOOKUP(D124,'[1]טיפוסי דירה'!$B$1:$E$51,4,FALSE)</f>
        <v>22.25</v>
      </c>
      <c r="I124" s="397">
        <v>6.6749999999999998</v>
      </c>
      <c r="J124" s="415">
        <v>12.12</v>
      </c>
      <c r="K124" s="392">
        <v>2</v>
      </c>
      <c r="L124" s="399">
        <f>(G124+I124+(J124*0.4)+(K124*2))*$O$4-((G124-125)*0.15*$O$4)</f>
        <v>957396.02400000009</v>
      </c>
      <c r="M124" s="400"/>
      <c r="N124" s="416" t="s">
        <v>30</v>
      </c>
      <c r="O124" s="392">
        <v>4</v>
      </c>
      <c r="P124" s="359">
        <v>106</v>
      </c>
      <c r="Q124" s="407"/>
      <c r="T124" s="362"/>
    </row>
    <row r="125" spans="1:20" s="361" customFormat="1" ht="20.100000000000001" customHeight="1" x14ac:dyDescent="0.3">
      <c r="A125" s="441"/>
      <c r="B125" s="371">
        <v>299</v>
      </c>
      <c r="C125" s="375">
        <v>5</v>
      </c>
      <c r="D125" s="371" t="s">
        <v>49</v>
      </c>
      <c r="E125" s="375">
        <v>1</v>
      </c>
      <c r="F125" s="401">
        <f>VLOOKUP(D125,'[1]טיפוסי דירה'!$B$1:$E$51,2,FALSE)</f>
        <v>4</v>
      </c>
      <c r="G125" s="367">
        <v>104</v>
      </c>
      <c r="H125" s="368">
        <f>VLOOKUP(D125,'[1]טיפוסי דירה'!$B$1:$E$51,4,FALSE)</f>
        <v>19.91</v>
      </c>
      <c r="I125" s="369">
        <v>5.9729999999999999</v>
      </c>
      <c r="J125" s="406">
        <v>7.06</v>
      </c>
      <c r="K125" s="371">
        <v>2</v>
      </c>
      <c r="L125" s="372">
        <f>(G125+I125+(J125*0.4)+(K125*2))*$O$4</f>
        <v>792584.44199999992</v>
      </c>
      <c r="M125" s="373"/>
      <c r="N125" s="376" t="s">
        <v>30</v>
      </c>
      <c r="O125" s="371">
        <v>5</v>
      </c>
      <c r="P125" s="359">
        <v>107</v>
      </c>
      <c r="Q125" s="407"/>
      <c r="T125" s="362"/>
    </row>
    <row r="126" spans="1:20" s="361" customFormat="1" ht="20.100000000000001" customHeight="1" x14ac:dyDescent="0.3">
      <c r="A126" s="441"/>
      <c r="B126" s="371">
        <v>299</v>
      </c>
      <c r="C126" s="375">
        <v>6</v>
      </c>
      <c r="D126" s="371" t="s">
        <v>50</v>
      </c>
      <c r="E126" s="375">
        <v>1</v>
      </c>
      <c r="F126" s="401">
        <f>VLOOKUP(D126,'[1]טיפוסי דירה'!$B$1:$E$51,2,FALSE)</f>
        <v>4</v>
      </c>
      <c r="G126" s="367">
        <v>104.07</v>
      </c>
      <c r="H126" s="368">
        <f>VLOOKUP(D126,'[1]טיפוסי דירה'!$B$1:$E$51,4,FALSE)</f>
        <v>19.91</v>
      </c>
      <c r="I126" s="369">
        <v>5.9729999999999999</v>
      </c>
      <c r="J126" s="406">
        <v>11.58</v>
      </c>
      <c r="K126" s="371">
        <v>1</v>
      </c>
      <c r="L126" s="372">
        <f>(G126+I126+(J126*0.4)+(K126*2))*$O$4</f>
        <v>791756.54999999993</v>
      </c>
      <c r="M126" s="373"/>
      <c r="N126" s="376" t="s">
        <v>30</v>
      </c>
      <c r="O126" s="371">
        <v>6</v>
      </c>
      <c r="P126" s="359">
        <v>108</v>
      </c>
      <c r="Q126" s="407"/>
      <c r="T126" s="362"/>
    </row>
    <row r="127" spans="1:20" ht="20.100000000000001" customHeight="1" x14ac:dyDescent="0.3">
      <c r="A127" s="441"/>
      <c r="B127" s="201">
        <v>299</v>
      </c>
      <c r="C127" s="161">
        <v>7</v>
      </c>
      <c r="D127" s="201" t="s">
        <v>51</v>
      </c>
      <c r="E127" s="202">
        <v>1</v>
      </c>
      <c r="F127" s="203">
        <f>VLOOKUP(D127,'[1]טיפוסי דירה'!$B$1:$E$51,2,FALSE)</f>
        <v>3</v>
      </c>
      <c r="G127" s="147">
        <v>79.73</v>
      </c>
      <c r="H127" s="148">
        <v>14.05</v>
      </c>
      <c r="I127" s="149">
        <v>4.2149999999999999</v>
      </c>
      <c r="J127" s="233">
        <v>7.1</v>
      </c>
      <c r="K127" s="151">
        <v>1</v>
      </c>
      <c r="L127" s="152">
        <f>(G127+I127+(J127*0.4)+(K127*2))*$O$4</f>
        <v>602495.01000000013</v>
      </c>
      <c r="M127" s="153"/>
      <c r="N127" s="162" t="s">
        <v>30</v>
      </c>
      <c r="O127" s="151">
        <v>7</v>
      </c>
      <c r="P127" s="339">
        <v>109</v>
      </c>
      <c r="Q127" s="86"/>
      <c r="T127" s="110"/>
    </row>
    <row r="128" spans="1:20" s="361" customFormat="1" ht="20.100000000000001" customHeight="1" x14ac:dyDescent="0.3">
      <c r="A128" s="441"/>
      <c r="B128" s="371">
        <v>299</v>
      </c>
      <c r="C128" s="375">
        <v>8</v>
      </c>
      <c r="D128" s="371" t="s">
        <v>48</v>
      </c>
      <c r="E128" s="375">
        <v>2</v>
      </c>
      <c r="F128" s="401">
        <f>VLOOKUP(D128,'[1]טיפוסי דירה'!$B$1:$E$51,2,FALSE)</f>
        <v>5</v>
      </c>
      <c r="G128" s="367">
        <v>125.66</v>
      </c>
      <c r="H128" s="368">
        <f>VLOOKUP(D128,'[1]טיפוסי דירה'!$B$1:$E$51,4,FALSE)</f>
        <v>22.25</v>
      </c>
      <c r="I128" s="369">
        <v>6.6749999999999998</v>
      </c>
      <c r="J128" s="406">
        <v>6.8</v>
      </c>
      <c r="K128" s="371">
        <v>2</v>
      </c>
      <c r="L128" s="372">
        <f>(G128+I128+(J128*0.4)+(K128*2))*$O$4-((G128-125)*0.15*$O$4)</f>
        <v>942955.41600000008</v>
      </c>
      <c r="M128" s="373"/>
      <c r="N128" s="376" t="s">
        <v>30</v>
      </c>
      <c r="O128" s="371">
        <v>8</v>
      </c>
      <c r="P128" s="359">
        <v>110</v>
      </c>
      <c r="Q128" s="407"/>
      <c r="T128" s="362"/>
    </row>
    <row r="129" spans="1:20" s="361" customFormat="1" ht="20.100000000000001" customHeight="1" x14ac:dyDescent="0.3">
      <c r="A129" s="441"/>
      <c r="B129" s="371">
        <v>299</v>
      </c>
      <c r="C129" s="375">
        <v>9</v>
      </c>
      <c r="D129" s="371" t="s">
        <v>49</v>
      </c>
      <c r="E129" s="375">
        <v>2</v>
      </c>
      <c r="F129" s="401">
        <f>VLOOKUP(D129,'[1]טיפוסי דירה'!$B$1:$E$51,2,FALSE)</f>
        <v>4</v>
      </c>
      <c r="G129" s="367">
        <v>104</v>
      </c>
      <c r="H129" s="368">
        <f>VLOOKUP(D129,'[1]טיפוסי דירה'!$B$1:$E$51,4,FALSE)</f>
        <v>19.91</v>
      </c>
      <c r="I129" s="369">
        <v>5.9729999999999999</v>
      </c>
      <c r="J129" s="406">
        <v>6.95</v>
      </c>
      <c r="K129" s="371">
        <v>1</v>
      </c>
      <c r="L129" s="372">
        <f>(G129+I129+(J129*0.4)+(K129*2))*$O$4</f>
        <v>778713.85800000001</v>
      </c>
      <c r="M129" s="373"/>
      <c r="N129" s="376" t="s">
        <v>30</v>
      </c>
      <c r="O129" s="371">
        <v>9</v>
      </c>
      <c r="P129" s="359">
        <v>111</v>
      </c>
      <c r="Q129" s="407"/>
      <c r="T129" s="362"/>
    </row>
    <row r="130" spans="1:20" s="361" customFormat="1" ht="20.100000000000001" customHeight="1" x14ac:dyDescent="0.3">
      <c r="A130" s="441"/>
      <c r="B130" s="371">
        <v>299</v>
      </c>
      <c r="C130" s="375">
        <v>10</v>
      </c>
      <c r="D130" s="371" t="s">
        <v>50</v>
      </c>
      <c r="E130" s="375">
        <v>2</v>
      </c>
      <c r="F130" s="401">
        <f>VLOOKUP(D130,'[1]טיפוסי דירה'!$B$1:$E$51,2,FALSE)</f>
        <v>4</v>
      </c>
      <c r="G130" s="367">
        <v>104.07</v>
      </c>
      <c r="H130" s="368">
        <f>VLOOKUP(D130,'[1]טיפוסי דירה'!$B$1:$E$51,4,FALSE)</f>
        <v>19.91</v>
      </c>
      <c r="I130" s="369">
        <v>5.9729999999999999</v>
      </c>
      <c r="J130" s="406">
        <v>8.77</v>
      </c>
      <c r="K130" s="371">
        <v>1</v>
      </c>
      <c r="L130" s="372">
        <f>(G130+I130+(J130*0.4)+(K130*2))*$O$4</f>
        <v>784129.08599999989</v>
      </c>
      <c r="M130" s="373"/>
      <c r="N130" s="376" t="s">
        <v>30</v>
      </c>
      <c r="O130" s="371">
        <v>10</v>
      </c>
      <c r="P130" s="359">
        <v>112</v>
      </c>
      <c r="Q130" s="407"/>
      <c r="T130" s="362"/>
    </row>
    <row r="131" spans="1:20" s="418" customFormat="1" ht="20.100000000000001" customHeight="1" x14ac:dyDescent="0.3">
      <c r="A131" s="441"/>
      <c r="B131" s="464">
        <v>299</v>
      </c>
      <c r="C131" s="466">
        <v>11</v>
      </c>
      <c r="D131" s="464" t="s">
        <v>51</v>
      </c>
      <c r="E131" s="466">
        <v>2</v>
      </c>
      <c r="F131" s="467">
        <f>VLOOKUP(D131,'[1]טיפוסי דירה'!$B$1:$E$51,2,FALSE)</f>
        <v>3</v>
      </c>
      <c r="G131" s="468">
        <v>79.73</v>
      </c>
      <c r="H131" s="469">
        <v>14.05</v>
      </c>
      <c r="I131" s="470">
        <v>4.2149999999999999</v>
      </c>
      <c r="J131" s="471">
        <v>6.01</v>
      </c>
      <c r="K131" s="464">
        <v>1</v>
      </c>
      <c r="L131" s="473">
        <f>(G131+I131+(J131*0.4)+(K131*2))*$O$4</f>
        <v>599536.31400000001</v>
      </c>
      <c r="M131" s="474"/>
      <c r="N131" s="479" t="s">
        <v>30</v>
      </c>
      <c r="O131" s="464">
        <v>11</v>
      </c>
      <c r="P131" s="476">
        <v>113</v>
      </c>
      <c r="Q131" s="420"/>
      <c r="T131" s="419"/>
    </row>
    <row r="132" spans="1:20" s="361" customFormat="1" ht="20.100000000000001" customHeight="1" x14ac:dyDescent="0.3">
      <c r="A132" s="441"/>
      <c r="B132" s="363">
        <v>299</v>
      </c>
      <c r="C132" s="364">
        <v>12</v>
      </c>
      <c r="D132" s="363" t="s">
        <v>48</v>
      </c>
      <c r="E132" s="364">
        <v>3</v>
      </c>
      <c r="F132" s="434">
        <f>VLOOKUP(D132,'[1]טיפוסי דירה'!$B$1:$E$51,2,FALSE)</f>
        <v>5</v>
      </c>
      <c r="G132" s="435">
        <v>125.66</v>
      </c>
      <c r="H132" s="436">
        <f>VLOOKUP(D132,'[1]טיפוסי דירה'!$B$1:$E$51,4,FALSE)</f>
        <v>22.25</v>
      </c>
      <c r="I132" s="437">
        <v>6.6749999999999998</v>
      </c>
      <c r="J132" s="438">
        <v>5.85</v>
      </c>
      <c r="K132" s="363">
        <v>2</v>
      </c>
      <c r="L132" s="439">
        <f>(G132+I132+(J132*0.4)+(K132*2))*$O$4-((G132-125)*0.15*$O$4)</f>
        <v>940376.73600000003</v>
      </c>
      <c r="M132" s="440"/>
      <c r="N132" s="365" t="s">
        <v>30</v>
      </c>
      <c r="O132" s="363">
        <v>12</v>
      </c>
      <c r="P132" s="359">
        <v>114</v>
      </c>
      <c r="Q132" s="379"/>
      <c r="T132" s="362"/>
    </row>
    <row r="133" spans="1:20" s="361" customFormat="1" ht="20.100000000000001" customHeight="1" x14ac:dyDescent="0.3">
      <c r="A133" s="441"/>
      <c r="B133" s="371">
        <v>299</v>
      </c>
      <c r="C133" s="375">
        <v>13</v>
      </c>
      <c r="D133" s="371" t="s">
        <v>49</v>
      </c>
      <c r="E133" s="375">
        <v>3</v>
      </c>
      <c r="F133" s="401">
        <f>VLOOKUP(D133,'[1]טיפוסי דירה'!$B$1:$E$51,2,FALSE)</f>
        <v>4</v>
      </c>
      <c r="G133" s="367">
        <v>104</v>
      </c>
      <c r="H133" s="368">
        <f>VLOOKUP(D133,'[1]טיפוסי דירה'!$B$1:$E$51,4,FALSE)</f>
        <v>19.91</v>
      </c>
      <c r="I133" s="369">
        <v>5.9729999999999999</v>
      </c>
      <c r="J133" s="406">
        <v>6.01</v>
      </c>
      <c r="K133" s="371">
        <v>1</v>
      </c>
      <c r="L133" s="372">
        <f>(G133+I133+(J133*0.4)+(K133*2))*$O$4</f>
        <v>776162.32199999993</v>
      </c>
      <c r="M133" s="373"/>
      <c r="N133" s="376" t="s">
        <v>30</v>
      </c>
      <c r="O133" s="371">
        <v>13</v>
      </c>
      <c r="P133" s="359">
        <v>115</v>
      </c>
      <c r="Q133" s="407"/>
      <c r="T133" s="362"/>
    </row>
    <row r="134" spans="1:20" s="361" customFormat="1" ht="20.100000000000001" customHeight="1" x14ac:dyDescent="0.3">
      <c r="A134" s="441"/>
      <c r="B134" s="371">
        <v>299</v>
      </c>
      <c r="C134" s="375">
        <v>14</v>
      </c>
      <c r="D134" s="371" t="s">
        <v>50</v>
      </c>
      <c r="E134" s="375">
        <v>3</v>
      </c>
      <c r="F134" s="401">
        <f>VLOOKUP(D134,'[1]טיפוסי דירה'!$B$1:$E$51,2,FALSE)</f>
        <v>4</v>
      </c>
      <c r="G134" s="367">
        <v>104.07</v>
      </c>
      <c r="H134" s="368">
        <f>VLOOKUP(D134,'[1]טיפוסי דירה'!$B$1:$E$51,4,FALSE)</f>
        <v>19.91</v>
      </c>
      <c r="I134" s="369">
        <v>5.9729999999999999</v>
      </c>
      <c r="J134" s="406">
        <v>10.44</v>
      </c>
      <c r="K134" s="371">
        <v>2</v>
      </c>
      <c r="L134" s="372">
        <f>(G134+I134+(J134*0.4)+(K134*2))*$O$4</f>
        <v>802234.13399999996</v>
      </c>
      <c r="M134" s="373"/>
      <c r="N134" s="376" t="s">
        <v>30</v>
      </c>
      <c r="O134" s="371">
        <v>14</v>
      </c>
      <c r="P134" s="359">
        <v>116</v>
      </c>
      <c r="Q134" s="407"/>
      <c r="T134" s="362"/>
    </row>
    <row r="135" spans="1:20" s="418" customFormat="1" ht="20.100000000000001" customHeight="1" x14ac:dyDescent="0.3">
      <c r="A135" s="441"/>
      <c r="B135" s="464">
        <v>299</v>
      </c>
      <c r="C135" s="466">
        <v>15</v>
      </c>
      <c r="D135" s="464" t="s">
        <v>51</v>
      </c>
      <c r="E135" s="466">
        <v>3</v>
      </c>
      <c r="F135" s="467">
        <f>VLOOKUP(D135,'[1]טיפוסי דירה'!$B$1:$E$51,2,FALSE)</f>
        <v>3</v>
      </c>
      <c r="G135" s="468">
        <v>79.73</v>
      </c>
      <c r="H135" s="469">
        <v>14.05</v>
      </c>
      <c r="I135" s="470">
        <v>4.2149999999999999</v>
      </c>
      <c r="J135" s="471">
        <v>6.35</v>
      </c>
      <c r="K135" s="464">
        <v>1</v>
      </c>
      <c r="L135" s="473">
        <f>(G135+I135+(J135*0.4)+(K135*2))*$O$4</f>
        <v>600459.21000000008</v>
      </c>
      <c r="M135" s="474"/>
      <c r="N135" s="479" t="s">
        <v>30</v>
      </c>
      <c r="O135" s="464">
        <v>15</v>
      </c>
      <c r="P135" s="476">
        <v>117</v>
      </c>
      <c r="Q135" s="420"/>
      <c r="T135" s="419"/>
    </row>
    <row r="136" spans="1:20" s="361" customFormat="1" ht="20.100000000000001" customHeight="1" x14ac:dyDescent="0.3">
      <c r="A136" s="441"/>
      <c r="B136" s="371">
        <v>299</v>
      </c>
      <c r="C136" s="375">
        <v>16</v>
      </c>
      <c r="D136" s="371" t="s">
        <v>48</v>
      </c>
      <c r="E136" s="375">
        <v>4</v>
      </c>
      <c r="F136" s="401">
        <f>VLOOKUP(D136,'[1]טיפוסי דירה'!$B$1:$E$51,2,FALSE)</f>
        <v>5</v>
      </c>
      <c r="G136" s="367">
        <v>125.66</v>
      </c>
      <c r="H136" s="368">
        <f>VLOOKUP(D136,'[1]טיפוסי דירה'!$B$1:$E$51,4,FALSE)</f>
        <v>22.25</v>
      </c>
      <c r="I136" s="369">
        <v>6.6749999999999998</v>
      </c>
      <c r="J136" s="406">
        <v>5.15</v>
      </c>
      <c r="K136" s="371">
        <v>2</v>
      </c>
      <c r="L136" s="372">
        <f>(G136+I136+(J136*0.4)+(K136*2))*$O$4-((G136-125)*0.15*$O$4)</f>
        <v>938476.65600000008</v>
      </c>
      <c r="M136" s="373"/>
      <c r="N136" s="376" t="s">
        <v>30</v>
      </c>
      <c r="O136" s="371">
        <v>16</v>
      </c>
      <c r="P136" s="359">
        <v>118</v>
      </c>
      <c r="Q136" s="407"/>
      <c r="T136" s="362"/>
    </row>
    <row r="137" spans="1:20" s="361" customFormat="1" ht="20.100000000000001" customHeight="1" x14ac:dyDescent="0.3">
      <c r="A137" s="441"/>
      <c r="B137" s="371">
        <v>299</v>
      </c>
      <c r="C137" s="375">
        <v>20</v>
      </c>
      <c r="D137" s="371" t="s">
        <v>48</v>
      </c>
      <c r="E137" s="375">
        <v>5</v>
      </c>
      <c r="F137" s="401">
        <f>VLOOKUP(D137,'[1]טיפוסי דירה'!$B$1:$E$51,2,FALSE)</f>
        <v>5</v>
      </c>
      <c r="G137" s="367">
        <v>125.66</v>
      </c>
      <c r="H137" s="368">
        <f>VLOOKUP(D137,'[1]טיפוסי דירה'!$B$1:$E$51,4,FALSE)</f>
        <v>22.25</v>
      </c>
      <c r="I137" s="369">
        <v>6.6749999999999998</v>
      </c>
      <c r="J137" s="406">
        <v>9.18</v>
      </c>
      <c r="K137" s="371">
        <v>2</v>
      </c>
      <c r="L137" s="372">
        <f>(G137+I137+(J137*0.4)+(K137*2))*$O$4-((G137-125)*0.15*$O$4)</f>
        <v>949415.68799999997</v>
      </c>
      <c r="M137" s="373"/>
      <c r="N137" s="376" t="s">
        <v>30</v>
      </c>
      <c r="O137" s="371">
        <v>29</v>
      </c>
      <c r="P137" s="359">
        <v>119</v>
      </c>
      <c r="Q137" s="407"/>
      <c r="T137" s="362"/>
    </row>
    <row r="138" spans="1:20" s="361" customFormat="1" ht="20.100000000000001" customHeight="1" x14ac:dyDescent="0.3">
      <c r="A138" s="441"/>
      <c r="B138" s="371">
        <v>299</v>
      </c>
      <c r="C138" s="375">
        <v>23</v>
      </c>
      <c r="D138" s="371" t="s">
        <v>51</v>
      </c>
      <c r="E138" s="375">
        <v>5</v>
      </c>
      <c r="F138" s="401">
        <f>VLOOKUP(D138,'[1]טיפוסי דירה'!$B$1:$E$51,2,FALSE)</f>
        <v>3</v>
      </c>
      <c r="G138" s="367">
        <v>79.73</v>
      </c>
      <c r="H138" s="368">
        <v>14.05</v>
      </c>
      <c r="I138" s="369">
        <v>4.2149999999999999</v>
      </c>
      <c r="J138" s="406">
        <v>7</v>
      </c>
      <c r="K138" s="371">
        <v>1</v>
      </c>
      <c r="L138" s="372">
        <f>(G138+I138+(J138*0.4)+(K138*2))*$O$4</f>
        <v>602223.57000000007</v>
      </c>
      <c r="M138" s="373"/>
      <c r="N138" s="376" t="s">
        <v>30</v>
      </c>
      <c r="O138" s="371">
        <v>23</v>
      </c>
      <c r="P138" s="359">
        <v>120</v>
      </c>
      <c r="Q138" s="360"/>
      <c r="T138" s="362"/>
    </row>
    <row r="139" spans="1:20" s="361" customFormat="1" ht="20.100000000000001" customHeight="1" thickBot="1" x14ac:dyDescent="0.35">
      <c r="A139" s="441"/>
      <c r="B139" s="408">
        <v>299</v>
      </c>
      <c r="C139" s="409">
        <v>24</v>
      </c>
      <c r="D139" s="408" t="s">
        <v>48</v>
      </c>
      <c r="E139" s="409">
        <v>6</v>
      </c>
      <c r="F139" s="410">
        <f>VLOOKUP(D139,'[1]טיפוסי דירה'!$B$1:$E$51,2,FALSE)</f>
        <v>5</v>
      </c>
      <c r="G139" s="411">
        <v>125.66</v>
      </c>
      <c r="H139" s="412">
        <f>VLOOKUP(D139,'[1]טיפוסי דירה'!$B$1:$E$51,4,FALSE)</f>
        <v>22.25</v>
      </c>
      <c r="I139" s="413">
        <v>6.6749999999999998</v>
      </c>
      <c r="J139" s="414">
        <v>11.67</v>
      </c>
      <c r="K139" s="408">
        <v>2</v>
      </c>
      <c r="L139" s="388">
        <f>(G139+I139+(J139*0.4)+(K139*2))*$O$4-((G139-125)*0.15*$O$4)</f>
        <v>956174.54400000011</v>
      </c>
      <c r="M139" s="389"/>
      <c r="N139" s="417" t="s">
        <v>30</v>
      </c>
      <c r="O139" s="408">
        <v>24</v>
      </c>
      <c r="P139" s="359">
        <v>121</v>
      </c>
      <c r="Q139" s="407"/>
      <c r="T139" s="362"/>
    </row>
    <row r="140" spans="1:20" customFormat="1" ht="15" customHeight="1" thickBot="1" x14ac:dyDescent="0.25">
      <c r="A140" s="310" t="s">
        <v>40</v>
      </c>
      <c r="B140" s="312"/>
      <c r="C140" s="312"/>
      <c r="D140" s="311"/>
      <c r="E140" s="312"/>
      <c r="F140" s="311"/>
      <c r="G140" s="313">
        <f>SUMIF(N124:N139,"כן",G124:G139)/COUNTIF(N124:N139,"כן")</f>
        <v>106.06812500000001</v>
      </c>
      <c r="H140" s="314"/>
      <c r="I140" s="316" t="s">
        <v>41</v>
      </c>
      <c r="J140" s="316"/>
      <c r="K140" s="317"/>
      <c r="L140" s="316"/>
      <c r="M140" s="316"/>
      <c r="N140" s="318">
        <f>COUNTIF(N124:N139,"כן")/COUNT(C124:C139)</f>
        <v>1</v>
      </c>
      <c r="O140" s="319"/>
      <c r="P140" s="307"/>
      <c r="Q140" s="1"/>
    </row>
    <row r="141" spans="1:20" customFormat="1" ht="15.75" customHeight="1" x14ac:dyDescent="0.2">
      <c r="A141" s="48"/>
      <c r="B141" s="48"/>
      <c r="C141" s="48"/>
      <c r="D141" s="48"/>
      <c r="E141" s="48"/>
      <c r="F141" s="48"/>
      <c r="G141" s="113"/>
      <c r="H141" s="5"/>
      <c r="I141" s="114"/>
      <c r="J141" s="114"/>
      <c r="K141" s="114"/>
      <c r="L141" s="114"/>
      <c r="M141" s="114"/>
      <c r="N141" s="6"/>
      <c r="O141" s="304"/>
      <c r="P141" s="301"/>
      <c r="Q141" s="1"/>
    </row>
    <row r="142" spans="1:20" customFormat="1" ht="15.75" customHeight="1" x14ac:dyDescent="0.2">
      <c r="A142" s="48"/>
      <c r="B142" s="48"/>
      <c r="C142" s="48"/>
      <c r="D142" s="48"/>
      <c r="E142" s="48"/>
      <c r="F142" s="48"/>
      <c r="G142" s="113"/>
      <c r="H142" s="5"/>
      <c r="I142" s="114"/>
      <c r="J142" s="114"/>
      <c r="K142" s="114"/>
      <c r="L142" s="114"/>
      <c r="M142" s="114"/>
      <c r="N142" s="6"/>
      <c r="O142" s="304"/>
      <c r="P142" s="301"/>
      <c r="Q142" s="1"/>
    </row>
    <row r="143" spans="1:20" customFormat="1" ht="15.75" customHeight="1" x14ac:dyDescent="0.2">
      <c r="A143" s="48"/>
      <c r="B143" s="48"/>
      <c r="C143" s="48"/>
      <c r="D143" s="48"/>
      <c r="E143" s="48"/>
      <c r="F143" s="48"/>
      <c r="G143" s="113"/>
      <c r="H143" s="5"/>
      <c r="I143" s="114"/>
      <c r="J143" s="114"/>
      <c r="K143" s="114"/>
      <c r="L143" s="114"/>
      <c r="M143" s="114"/>
      <c r="N143" s="6"/>
      <c r="O143" s="304"/>
      <c r="P143" s="301"/>
      <c r="Q143" s="1"/>
    </row>
    <row r="144" spans="1:20" ht="14.25" x14ac:dyDescent="0.2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117"/>
      <c r="M144" s="89"/>
      <c r="N144" s="89"/>
      <c r="O144" s="305"/>
      <c r="P144" s="301"/>
      <c r="Q144" s="52"/>
    </row>
    <row r="145" spans="1:17" ht="14.25" x14ac:dyDescent="0.2">
      <c r="A145" s="91" t="s">
        <v>54</v>
      </c>
      <c r="B145" s="92"/>
      <c r="C145" s="92"/>
      <c r="D145" s="92"/>
      <c r="E145" s="92"/>
      <c r="F145" s="93"/>
      <c r="G145" s="94">
        <f>SUMIF(N11:N140,"כן",G11:G140)</f>
        <v>13176.969999999981</v>
      </c>
      <c r="H145" s="95"/>
      <c r="I145" s="95"/>
      <c r="J145" s="96" t="s">
        <v>55</v>
      </c>
      <c r="K145" s="97"/>
      <c r="L145" s="118"/>
      <c r="M145" s="98"/>
      <c r="N145" s="94">
        <f>COUNTIF(N11:N140,"כן")</f>
        <v>121</v>
      </c>
      <c r="O145" s="306"/>
      <c r="P145" s="301"/>
      <c r="Q145" s="52"/>
    </row>
    <row r="146" spans="1:17" ht="14.25" x14ac:dyDescent="0.2">
      <c r="A146" s="91" t="s">
        <v>56</v>
      </c>
      <c r="B146" s="92"/>
      <c r="C146" s="92"/>
      <c r="D146" s="92"/>
      <c r="E146" s="92"/>
      <c r="F146" s="93"/>
      <c r="G146" s="100">
        <f>SUMIF(N11:N139,"כן",G11:G139)/(SUMIF(N11:N139,"כן",G11:G139)+SUMIF(N11:N139,"לא",G11:G139))</f>
        <v>1</v>
      </c>
      <c r="H146" s="95"/>
      <c r="I146" s="95"/>
      <c r="J146" s="96" t="s">
        <v>57</v>
      </c>
      <c r="K146" s="97"/>
      <c r="L146" s="118"/>
      <c r="M146" s="98"/>
      <c r="N146" s="101">
        <f>COUNTIF(N11:N139,"כן")/COUNT(C11:C139)</f>
        <v>1</v>
      </c>
      <c r="O146" s="306"/>
      <c r="P146" s="301"/>
      <c r="Q146" s="52"/>
    </row>
    <row r="147" spans="1:17" x14ac:dyDescent="0.25">
      <c r="P147" s="301"/>
      <c r="Q147" s="52"/>
    </row>
    <row r="148" spans="1:17" x14ac:dyDescent="0.2">
      <c r="A148" s="102" t="s">
        <v>58</v>
      </c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301"/>
      <c r="Q148" s="52"/>
    </row>
    <row r="149" spans="1:17" ht="15.75" customHeight="1" x14ac:dyDescent="0.2">
      <c r="A149" s="103" t="s">
        <v>59</v>
      </c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4"/>
      <c r="M149" s="103"/>
      <c r="N149" s="103"/>
      <c r="O149" s="103"/>
      <c r="P149" s="301"/>
      <c r="Q149" s="103"/>
    </row>
    <row r="150" spans="1:17" ht="15.75" customHeight="1" x14ac:dyDescent="0.2">
      <c r="A150" s="104" t="s">
        <v>60</v>
      </c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301"/>
      <c r="Q150" s="104"/>
    </row>
    <row r="151" spans="1:17" ht="15.75" x14ac:dyDescent="0.2">
      <c r="A151" s="104"/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301"/>
      <c r="Q151" s="104"/>
    </row>
    <row r="152" spans="1:17" ht="15" customHeight="1" x14ac:dyDescent="0.25">
      <c r="A152" s="105" t="s">
        <v>61</v>
      </c>
      <c r="B152" s="10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4"/>
      <c r="P152" s="301"/>
      <c r="Q152" s="52"/>
    </row>
    <row r="153" spans="1:17" ht="15" customHeight="1" x14ac:dyDescent="0.25">
      <c r="A153" s="105"/>
      <c r="B153" s="105"/>
      <c r="C153" s="105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4"/>
      <c r="P153" s="299"/>
      <c r="Q153" s="52"/>
    </row>
    <row r="154" spans="1:17" ht="15" customHeight="1" x14ac:dyDescent="0.25">
      <c r="A154" s="105"/>
      <c r="B154" s="105"/>
      <c r="C154" s="105"/>
      <c r="D154" s="105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4"/>
      <c r="P154" s="299"/>
      <c r="Q154" s="52"/>
    </row>
    <row r="155" spans="1:17" x14ac:dyDescent="0.25">
      <c r="P155" s="299"/>
      <c r="Q155" s="52"/>
    </row>
    <row r="158" spans="1:17" x14ac:dyDescent="0.25">
      <c r="P158" s="103"/>
    </row>
    <row r="159" spans="1:17" ht="15.75" x14ac:dyDescent="0.25">
      <c r="P159" s="104"/>
    </row>
    <row r="160" spans="1:17" ht="15.75" x14ac:dyDescent="0.25">
      <c r="P160" s="104"/>
    </row>
  </sheetData>
  <sheetProtection sort="0" autoFilter="0"/>
  <autoFilter ref="A10:O140" xr:uid="{00000000-0009-0000-0000-000000000000}"/>
  <mergeCells count="15">
    <mergeCell ref="K2:N2"/>
    <mergeCell ref="G3:H3"/>
    <mergeCell ref="A11:A22"/>
    <mergeCell ref="A24:A32"/>
    <mergeCell ref="A34:A40"/>
    <mergeCell ref="A124:A139"/>
    <mergeCell ref="A5:B5"/>
    <mergeCell ref="D23:F23"/>
    <mergeCell ref="D33:F33"/>
    <mergeCell ref="A60:A76"/>
    <mergeCell ref="A78:A83"/>
    <mergeCell ref="A84:A95"/>
    <mergeCell ref="A97:A108"/>
    <mergeCell ref="A110:A122"/>
    <mergeCell ref="A42:A58"/>
  </mergeCells>
  <conditionalFormatting sqref="N3 O4:O9 O144:O148 O155">
    <cfRule type="containsText" dxfId="23" priority="9" operator="containsText" text="גדול">
      <formula>NOT(ISERROR(SEARCH("גדול",N3)))</formula>
    </cfRule>
    <cfRule type="containsText" dxfId="22" priority="10" operator="containsText" text="קטן מהמינימום הנדרש במכרז">
      <formula>NOT(ISERROR(SEARCH("קטן מהמינימום הנדרש במכרז",N3)))</formula>
    </cfRule>
  </conditionalFormatting>
  <conditionalFormatting sqref="O24:O32 O34:O40">
    <cfRule type="containsText" dxfId="21" priority="1" operator="containsText" text="מזרח">
      <formula>NOT(ISERROR(SEARCH("מזרח",O24)))</formula>
    </cfRule>
    <cfRule type="containsText" dxfId="20" priority="2" operator="containsText" text="מערב">
      <formula>NOT(ISERROR(SEARCH("מערב",O24)))</formula>
    </cfRule>
    <cfRule type="containsText" dxfId="19" priority="3" operator="containsText" text="צפון">
      <formula>NOT(ISERROR(SEARCH("צפון",O24)))</formula>
    </cfRule>
    <cfRule type="containsText" dxfId="18" priority="4" operator="containsText" text="דרום">
      <formula>NOT(ISERROR(SEARCH("דרום",O24)))</formula>
    </cfRule>
  </conditionalFormatting>
  <conditionalFormatting sqref="Q32 Q40">
    <cfRule type="containsText" dxfId="17" priority="5" operator="containsText" text="מזרח">
      <formula>NOT(ISERROR(SEARCH("מזרח",Q32)))</formula>
    </cfRule>
    <cfRule type="containsText" dxfId="16" priority="6" operator="containsText" text="מערב">
      <formula>NOT(ISERROR(SEARCH("מערב",Q32)))</formula>
    </cfRule>
    <cfRule type="containsText" dxfId="15" priority="7" operator="containsText" text="צפון">
      <formula>NOT(ISERROR(SEARCH("צפון",Q32)))</formula>
    </cfRule>
    <cfRule type="containsText" dxfId="14" priority="8" operator="containsText" text="דרום">
      <formula>NOT(ISERROR(SEARCH("דרום",Q32)))</formula>
    </cfRule>
  </conditionalFormatting>
  <pageMargins left="0.31496062992125984" right="0.31496062992125984" top="0.39370078740157483" bottom="0.51181102362204722" header="0.31496062992125984" footer="0.31496062992125984"/>
  <pageSetup paperSize="8"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74"/>
  <sheetViews>
    <sheetView rightToLeft="1" view="pageBreakPreview" zoomScale="120" zoomScaleNormal="115" zoomScaleSheetLayoutView="120" workbookViewId="0">
      <pane ySplit="10" topLeftCell="A11" activePane="bottomLeft" state="frozen"/>
      <selection pane="bottomLeft" activeCell="F14" sqref="F14"/>
    </sheetView>
  </sheetViews>
  <sheetFormatPr defaultColWidth="9.125" defaultRowHeight="15" x14ac:dyDescent="0.25"/>
  <cols>
    <col min="1" max="1" width="5.875" style="49" customWidth="1"/>
    <col min="2" max="2" width="7.625" style="49" customWidth="1"/>
    <col min="3" max="3" width="6.625" style="49" customWidth="1"/>
    <col min="4" max="4" width="9.125" style="49"/>
    <col min="5" max="5" width="7.125" style="49" customWidth="1"/>
    <col min="6" max="6" width="7.875" style="49" customWidth="1"/>
    <col min="7" max="7" width="9.125" style="49" customWidth="1"/>
    <col min="8" max="8" width="10.75" style="49" bestFit="1" customWidth="1"/>
    <col min="9" max="9" width="22.875" style="49" hidden="1" customWidth="1"/>
    <col min="10" max="10" width="6.375" style="49" customWidth="1"/>
    <col min="11" max="11" width="6.875" style="49" customWidth="1"/>
    <col min="12" max="12" width="11.25" style="62" customWidth="1"/>
    <col min="13" max="13" width="11.25" style="49" customWidth="1"/>
    <col min="14" max="14" width="10" style="49" bestFit="1" customWidth="1"/>
    <col min="15" max="15" width="8.625" style="49" customWidth="1"/>
    <col min="16" max="16" width="13.75" style="49" customWidth="1"/>
    <col min="17" max="17" width="9.125" style="49"/>
    <col min="18" max="18" width="7.625" style="49" customWidth="1"/>
    <col min="19" max="19" width="12" style="49" customWidth="1"/>
    <col min="20" max="20" width="21" style="49" customWidth="1"/>
    <col min="21" max="21" width="7.625" style="49" customWidth="1"/>
    <col min="22" max="22" width="8.125" style="49" customWidth="1"/>
    <col min="23" max="23" width="7.75" style="49" customWidth="1"/>
    <col min="24" max="16384" width="9.125" style="49"/>
  </cols>
  <sheetData>
    <row r="1" spans="1:23" ht="18.75" thickBot="1" x14ac:dyDescent="0.3">
      <c r="C1" s="50"/>
      <c r="D1" s="50"/>
      <c r="E1" s="276"/>
      <c r="F1" s="50"/>
      <c r="G1" s="276"/>
      <c r="H1" s="50" t="s">
        <v>0</v>
      </c>
      <c r="I1" s="51"/>
      <c r="J1" s="51"/>
      <c r="K1" s="51"/>
      <c r="L1" s="116"/>
      <c r="M1" s="52"/>
      <c r="N1" s="52"/>
      <c r="O1" s="53"/>
      <c r="P1" s="53"/>
      <c r="Q1" s="53"/>
    </row>
    <row r="2" spans="1:23" ht="41.25" customHeight="1" thickBot="1" x14ac:dyDescent="0.3">
      <c r="F2" s="54"/>
      <c r="G2" s="55"/>
      <c r="H2" s="55"/>
      <c r="I2" s="55"/>
      <c r="J2" s="55"/>
      <c r="K2" s="451" t="s">
        <v>78</v>
      </c>
      <c r="L2" s="451"/>
      <c r="M2" s="451"/>
      <c r="N2" s="451"/>
      <c r="O2" s="55"/>
      <c r="P2" s="55"/>
      <c r="Q2" s="56"/>
      <c r="R2" s="57" t="s">
        <v>1</v>
      </c>
      <c r="S2" s="58" t="s">
        <v>2</v>
      </c>
      <c r="T2" s="59" t="s">
        <v>3</v>
      </c>
      <c r="U2" s="60" t="s">
        <v>4</v>
      </c>
      <c r="V2" s="61" t="s">
        <v>5</v>
      </c>
      <c r="W2" s="60" t="s">
        <v>6</v>
      </c>
    </row>
    <row r="3" spans="1:23" ht="15.75" thickBot="1" x14ac:dyDescent="0.25">
      <c r="A3" s="277" t="s">
        <v>7</v>
      </c>
      <c r="B3" s="112"/>
      <c r="C3" s="80" t="s">
        <v>8</v>
      </c>
      <c r="G3" s="446" t="s">
        <v>9</v>
      </c>
      <c r="H3" s="446"/>
      <c r="I3" s="112"/>
      <c r="J3" s="277" t="s">
        <v>76</v>
      </c>
      <c r="K3" s="277"/>
      <c r="L3" s="277"/>
      <c r="M3" s="112"/>
      <c r="Q3" s="52"/>
      <c r="R3" s="63">
        <v>3</v>
      </c>
      <c r="S3" s="64">
        <v>51</v>
      </c>
      <c r="T3" s="64">
        <v>22</v>
      </c>
      <c r="U3" s="65">
        <f>S3-T3</f>
        <v>29</v>
      </c>
      <c r="V3" s="66">
        <f>U3/S3</f>
        <v>0.56862745098039214</v>
      </c>
      <c r="W3" s="67">
        <f>(U3+U4)/(S3+S4)</f>
        <v>0.49333333333333335</v>
      </c>
    </row>
    <row r="4" spans="1:23" ht="15.75" thickBot="1" x14ac:dyDescent="0.25">
      <c r="A4" s="278" t="s">
        <v>10</v>
      </c>
      <c r="B4" s="279"/>
      <c r="C4" s="80">
        <v>51213</v>
      </c>
      <c r="F4" s="106"/>
      <c r="G4" s="112"/>
      <c r="H4" s="277" t="s">
        <v>11</v>
      </c>
      <c r="I4" s="112"/>
      <c r="J4" s="112"/>
      <c r="K4" s="112"/>
      <c r="L4" s="277"/>
      <c r="M4" s="112"/>
      <c r="O4" s="280">
        <v>6786</v>
      </c>
      <c r="Q4" s="52"/>
      <c r="R4" s="68">
        <v>4</v>
      </c>
      <c r="S4" s="69">
        <v>99</v>
      </c>
      <c r="T4" s="69">
        <v>54</v>
      </c>
      <c r="U4" s="65">
        <f>S4-T4</f>
        <v>45</v>
      </c>
      <c r="V4" s="70">
        <f t="shared" ref="V4:V6" si="0">U4/S4</f>
        <v>0.45454545454545453</v>
      </c>
      <c r="W4" s="71"/>
    </row>
    <row r="5" spans="1:23" ht="15.75" thickBot="1" x14ac:dyDescent="0.3">
      <c r="A5" s="62"/>
      <c r="B5" s="62"/>
      <c r="F5" s="106"/>
      <c r="J5" s="62"/>
      <c r="O5" s="72"/>
      <c r="P5" s="52"/>
      <c r="Q5" s="52"/>
      <c r="R5" s="73">
        <v>5</v>
      </c>
      <c r="S5" s="74">
        <v>72</v>
      </c>
      <c r="T5" s="74">
        <v>33</v>
      </c>
      <c r="U5" s="65">
        <f t="shared" ref="U5:U7" si="1">S5-T5</f>
        <v>39</v>
      </c>
      <c r="V5" s="75">
        <f t="shared" si="0"/>
        <v>0.54166666666666663</v>
      </c>
      <c r="W5" s="76">
        <f>(U5+U6)/(S5+S6)</f>
        <v>0.52222222222222225</v>
      </c>
    </row>
    <row r="6" spans="1:23" ht="15.75" thickBot="1" x14ac:dyDescent="0.3">
      <c r="A6" s="277" t="s">
        <v>12</v>
      </c>
      <c r="B6" s="277"/>
      <c r="C6" s="112"/>
      <c r="D6" s="112"/>
      <c r="E6" s="80">
        <v>240</v>
      </c>
      <c r="J6" s="62"/>
      <c r="O6" s="72"/>
      <c r="P6" s="52"/>
      <c r="Q6" s="52"/>
      <c r="R6" s="77">
        <v>6</v>
      </c>
      <c r="S6" s="78">
        <v>18</v>
      </c>
      <c r="T6" s="78">
        <v>10</v>
      </c>
      <c r="U6" s="65">
        <f t="shared" si="1"/>
        <v>8</v>
      </c>
      <c r="V6" s="75">
        <f t="shared" si="0"/>
        <v>0.44444444444444442</v>
      </c>
      <c r="W6" s="79"/>
    </row>
    <row r="7" spans="1:23" ht="15.75" thickBot="1" x14ac:dyDescent="0.3">
      <c r="A7" s="277" t="s">
        <v>13</v>
      </c>
      <c r="B7" s="277"/>
      <c r="C7" s="112"/>
      <c r="D7" s="112"/>
      <c r="E7" s="80">
        <v>121</v>
      </c>
      <c r="J7" s="62"/>
      <c r="N7" s="72"/>
      <c r="O7" s="72"/>
      <c r="P7" s="52"/>
      <c r="Q7" s="52"/>
      <c r="R7" s="81" t="s">
        <v>2</v>
      </c>
      <c r="S7" s="81">
        <f>SUM(S3:S6)</f>
        <v>240</v>
      </c>
      <c r="T7" s="82">
        <f>SUBTOTAL(9,T3:T6)</f>
        <v>119</v>
      </c>
      <c r="U7" s="81">
        <f t="shared" si="1"/>
        <v>121</v>
      </c>
      <c r="V7" s="109">
        <f>U7/S7</f>
        <v>0.50416666666666665</v>
      </c>
      <c r="W7" s="83"/>
    </row>
    <row r="8" spans="1:23" ht="15.75" thickBot="1" x14ac:dyDescent="0.3">
      <c r="A8" s="277" t="s">
        <v>14</v>
      </c>
      <c r="B8" s="277"/>
      <c r="C8" s="112"/>
      <c r="D8" s="112"/>
      <c r="E8" s="84">
        <f>E7/E6</f>
        <v>0.50416666666666665</v>
      </c>
      <c r="G8" s="85"/>
      <c r="H8" s="85"/>
      <c r="I8" s="85"/>
      <c r="J8" s="62"/>
      <c r="N8" s="72"/>
      <c r="O8" s="85"/>
      <c r="P8" s="52"/>
      <c r="Q8" s="52"/>
    </row>
    <row r="9" spans="1:23" ht="15.75" thickBot="1" x14ac:dyDescent="0.3">
      <c r="A9" s="62"/>
      <c r="P9" s="52"/>
      <c r="Q9" s="52"/>
    </row>
    <row r="10" spans="1:23" ht="94.5" thickBot="1" x14ac:dyDescent="0.25">
      <c r="A10" s="119" t="s">
        <v>15</v>
      </c>
      <c r="B10" s="119" t="s">
        <v>16</v>
      </c>
      <c r="C10" s="120" t="s">
        <v>17</v>
      </c>
      <c r="D10" s="119" t="s">
        <v>18</v>
      </c>
      <c r="E10" s="120" t="s">
        <v>19</v>
      </c>
      <c r="F10" s="119" t="s">
        <v>20</v>
      </c>
      <c r="G10" s="119" t="s">
        <v>79</v>
      </c>
      <c r="H10" s="119" t="s">
        <v>21</v>
      </c>
      <c r="I10" s="121" t="s">
        <v>22</v>
      </c>
      <c r="J10" s="122" t="s">
        <v>23</v>
      </c>
      <c r="K10" s="119" t="s">
        <v>24</v>
      </c>
      <c r="L10" s="123" t="s">
        <v>25</v>
      </c>
      <c r="M10" s="124" t="s">
        <v>77</v>
      </c>
      <c r="N10" s="120" t="s">
        <v>26</v>
      </c>
      <c r="O10" s="119" t="s">
        <v>27</v>
      </c>
    </row>
    <row r="11" spans="1:23" ht="15" customHeight="1" x14ac:dyDescent="0.3">
      <c r="A11" s="447" t="s">
        <v>28</v>
      </c>
      <c r="B11" s="125">
        <v>134</v>
      </c>
      <c r="C11" s="126">
        <v>1</v>
      </c>
      <c r="D11" s="125" t="s">
        <v>42</v>
      </c>
      <c r="E11" s="127" t="s">
        <v>29</v>
      </c>
      <c r="F11" s="128">
        <v>3</v>
      </c>
      <c r="G11" s="129">
        <v>80.739999999999995</v>
      </c>
      <c r="H11" s="130">
        <v>71.680000000000007</v>
      </c>
      <c r="I11" s="131">
        <v>16.167999999999999</v>
      </c>
      <c r="J11" s="132">
        <v>3.5</v>
      </c>
      <c r="K11" s="133">
        <v>1</v>
      </c>
      <c r="L11" s="134">
        <f>(G11+I11+(J11*0.4)+(K11*2))*$O$4</f>
        <v>680690.08799999999</v>
      </c>
      <c r="M11" s="135"/>
      <c r="N11" s="126" t="s">
        <v>30</v>
      </c>
      <c r="O11" s="128">
        <v>1</v>
      </c>
      <c r="P11" s="86"/>
      <c r="Q11" s="86"/>
      <c r="T11" s="110"/>
    </row>
    <row r="12" spans="1:23" customFormat="1" ht="15" customHeight="1" x14ac:dyDescent="0.3">
      <c r="A12" s="448"/>
      <c r="B12" s="136">
        <v>134</v>
      </c>
      <c r="C12" s="137">
        <v>2</v>
      </c>
      <c r="D12" s="136" t="s">
        <v>31</v>
      </c>
      <c r="E12" s="137" t="s">
        <v>29</v>
      </c>
      <c r="F12" s="136">
        <v>4</v>
      </c>
      <c r="G12" s="138">
        <v>102.61</v>
      </c>
      <c r="H12" s="139">
        <v>76.08</v>
      </c>
      <c r="I12" s="140">
        <v>16.608000000000001</v>
      </c>
      <c r="J12" s="141">
        <v>3.48</v>
      </c>
      <c r="K12" s="136">
        <v>2</v>
      </c>
      <c r="L12" s="142"/>
      <c r="M12" s="143"/>
      <c r="N12" s="137" t="s">
        <v>32</v>
      </c>
      <c r="O12" s="144">
        <v>10</v>
      </c>
      <c r="Q12" s="2"/>
    </row>
    <row r="13" spans="1:23" ht="15" customHeight="1" x14ac:dyDescent="0.25">
      <c r="A13" s="448"/>
      <c r="B13" s="145">
        <v>134</v>
      </c>
      <c r="C13" s="146">
        <v>3</v>
      </c>
      <c r="D13" s="145" t="s">
        <v>33</v>
      </c>
      <c r="E13" s="146">
        <v>1</v>
      </c>
      <c r="F13" s="145">
        <v>5</v>
      </c>
      <c r="G13" s="147">
        <v>125.53</v>
      </c>
      <c r="H13" s="148">
        <v>22.74</v>
      </c>
      <c r="I13" s="149">
        <v>6.8219999999999992</v>
      </c>
      <c r="J13" s="150">
        <v>3.15</v>
      </c>
      <c r="K13" s="151">
        <v>2</v>
      </c>
      <c r="L13" s="152">
        <f>(G13+I13+(J13*0.4)+(K13*2))*$O$4-((G13-125)*0.15*$O$4)</f>
        <v>933295.54500000004</v>
      </c>
      <c r="M13" s="153"/>
      <c r="N13" s="146" t="s">
        <v>30</v>
      </c>
      <c r="O13" s="145">
        <v>16</v>
      </c>
      <c r="P13" s="86"/>
      <c r="Q13" s="86"/>
      <c r="T13" s="110"/>
    </row>
    <row r="14" spans="1:23" ht="18.75" x14ac:dyDescent="0.3">
      <c r="A14" s="448"/>
      <c r="B14" s="145">
        <v>134</v>
      </c>
      <c r="C14" s="146">
        <v>4</v>
      </c>
      <c r="D14" s="145" t="s">
        <v>34</v>
      </c>
      <c r="E14" s="154">
        <v>1</v>
      </c>
      <c r="F14" s="155">
        <v>3</v>
      </c>
      <c r="G14" s="147">
        <v>80.39</v>
      </c>
      <c r="H14" s="148">
        <f>VLOOKUP(D14,'[1]טיפוסי דירה'!$B$1:$E$51,4,FALSE)</f>
        <v>13.15</v>
      </c>
      <c r="I14" s="149">
        <v>3.9449999999999998</v>
      </c>
      <c r="J14" s="156">
        <v>5.96</v>
      </c>
      <c r="K14" s="151">
        <v>1</v>
      </c>
      <c r="L14" s="152">
        <f>(G14+I14+(J14*0.4)+(K14*2))*$O$4</f>
        <v>602047.13399999996</v>
      </c>
      <c r="M14" s="153"/>
      <c r="N14" s="146" t="s">
        <v>30</v>
      </c>
      <c r="O14" s="155">
        <v>11</v>
      </c>
      <c r="P14" s="86"/>
      <c r="Q14" s="86"/>
      <c r="T14" s="110"/>
    </row>
    <row r="15" spans="1:23" ht="18.75" x14ac:dyDescent="0.3">
      <c r="A15" s="448"/>
      <c r="B15" s="145">
        <v>134</v>
      </c>
      <c r="C15" s="146">
        <v>5</v>
      </c>
      <c r="D15" s="145" t="s">
        <v>35</v>
      </c>
      <c r="E15" s="154">
        <v>1</v>
      </c>
      <c r="F15" s="155">
        <v>4</v>
      </c>
      <c r="G15" s="147">
        <v>102.6</v>
      </c>
      <c r="H15" s="148">
        <f>VLOOKUP(D15,'[1]טיפוסי דירה'!$B$1:$E$51,4,FALSE)</f>
        <v>14.65</v>
      </c>
      <c r="I15" s="149">
        <v>4.3949999999999996</v>
      </c>
      <c r="J15" s="150">
        <v>3.85</v>
      </c>
      <c r="K15" s="151">
        <v>1</v>
      </c>
      <c r="L15" s="152">
        <f>(G15+I15+(J15*0.4)+(K15*2))*$O$4</f>
        <v>750090.51</v>
      </c>
      <c r="M15" s="153"/>
      <c r="N15" s="146" t="s">
        <v>30</v>
      </c>
      <c r="O15" s="155">
        <v>13</v>
      </c>
      <c r="P15" s="86"/>
      <c r="Q15" s="86"/>
      <c r="T15" s="110"/>
    </row>
    <row r="16" spans="1:23" ht="18.75" x14ac:dyDescent="0.3">
      <c r="A16" s="448"/>
      <c r="B16" s="145">
        <v>134</v>
      </c>
      <c r="C16" s="146">
        <v>6</v>
      </c>
      <c r="D16" s="145" t="s">
        <v>33</v>
      </c>
      <c r="E16" s="154">
        <v>2</v>
      </c>
      <c r="F16" s="155">
        <v>5</v>
      </c>
      <c r="G16" s="147">
        <v>125.53</v>
      </c>
      <c r="H16" s="148">
        <v>22.74</v>
      </c>
      <c r="I16" s="149">
        <v>6.8219999999999992</v>
      </c>
      <c r="J16" s="150">
        <v>3.57</v>
      </c>
      <c r="K16" s="151">
        <v>2</v>
      </c>
      <c r="L16" s="152">
        <f>(G16+I16+(J16*0.4)+(K16*2))*$O$4-((G16-125)*0.15*$O$4)</f>
        <v>934435.59299999999</v>
      </c>
      <c r="M16" s="153"/>
      <c r="N16" s="146" t="s">
        <v>30</v>
      </c>
      <c r="O16" s="155">
        <v>7</v>
      </c>
      <c r="P16" s="86"/>
      <c r="Q16" s="86"/>
      <c r="T16" s="110"/>
    </row>
    <row r="17" spans="1:20" ht="18.75" x14ac:dyDescent="0.3">
      <c r="A17" s="448"/>
      <c r="B17" s="145">
        <v>134</v>
      </c>
      <c r="C17" s="146">
        <v>7</v>
      </c>
      <c r="D17" s="145" t="s">
        <v>34</v>
      </c>
      <c r="E17" s="154">
        <v>2</v>
      </c>
      <c r="F17" s="155">
        <v>3</v>
      </c>
      <c r="G17" s="157">
        <v>80.39</v>
      </c>
      <c r="H17" s="158">
        <f>VLOOKUP(D17,'[1]טיפוסי דירה'!$B$1:$E$51,4,FALSE)</f>
        <v>13.15</v>
      </c>
      <c r="I17" s="159">
        <v>3.9449999999999998</v>
      </c>
      <c r="J17" s="150">
        <v>3.87</v>
      </c>
      <c r="K17" s="151">
        <v>1</v>
      </c>
      <c r="L17" s="152">
        <f>(G17+I17+(J17*0.4)+(K17*2))*$O$4</f>
        <v>596374.03799999994</v>
      </c>
      <c r="M17" s="153"/>
      <c r="N17" s="146" t="s">
        <v>30</v>
      </c>
      <c r="O17" s="155">
        <v>12</v>
      </c>
      <c r="P17" s="86"/>
      <c r="Q17" s="86"/>
      <c r="T17" s="110"/>
    </row>
    <row r="18" spans="1:20" ht="18.75" x14ac:dyDescent="0.3">
      <c r="A18" s="448"/>
      <c r="B18" s="145">
        <v>134</v>
      </c>
      <c r="C18" s="146">
        <v>8</v>
      </c>
      <c r="D18" s="145" t="s">
        <v>35</v>
      </c>
      <c r="E18" s="154">
        <v>2</v>
      </c>
      <c r="F18" s="155">
        <v>4</v>
      </c>
      <c r="G18" s="147">
        <v>102.6</v>
      </c>
      <c r="H18" s="148">
        <f>VLOOKUP(D18,'[1]טיפוסי דירה'!$B$1:$E$51,4,FALSE)</f>
        <v>14.65</v>
      </c>
      <c r="I18" s="149">
        <v>4.3949999999999996</v>
      </c>
      <c r="J18" s="150">
        <v>3.78</v>
      </c>
      <c r="K18" s="151">
        <v>1</v>
      </c>
      <c r="L18" s="152">
        <f>(G18+I18+(J18*0.4)+(K18*2))*$O$4</f>
        <v>749900.50199999998</v>
      </c>
      <c r="M18" s="153"/>
      <c r="N18" s="146" t="s">
        <v>30</v>
      </c>
      <c r="O18" s="155">
        <v>5</v>
      </c>
      <c r="P18" s="86"/>
      <c r="Q18" s="86"/>
      <c r="T18" s="110"/>
    </row>
    <row r="19" spans="1:20" customFormat="1" ht="15" customHeight="1" x14ac:dyDescent="0.3">
      <c r="A19" s="448"/>
      <c r="B19" s="136">
        <v>134</v>
      </c>
      <c r="C19" s="137">
        <v>9</v>
      </c>
      <c r="D19" s="136" t="s">
        <v>33</v>
      </c>
      <c r="E19" s="160">
        <v>3</v>
      </c>
      <c r="F19" s="144">
        <v>5</v>
      </c>
      <c r="G19" s="138">
        <f>VLOOKUP(D19,'[1]טיפוסי דירה'!$B$1:$E$51,3,FALSE)</f>
        <v>125.37</v>
      </c>
      <c r="H19" s="139">
        <f>VLOOKUP(D19,'[1]טיפוסי דירה'!$B$1:$E$51,4,FALSE)</f>
        <v>22.96</v>
      </c>
      <c r="I19" s="140">
        <v>6.8879999999999999</v>
      </c>
      <c r="J19" s="141">
        <v>3.68</v>
      </c>
      <c r="K19" s="136">
        <v>2</v>
      </c>
      <c r="L19" s="142"/>
      <c r="M19" s="143"/>
      <c r="N19" s="137" t="s">
        <v>32</v>
      </c>
      <c r="O19" s="144">
        <v>9</v>
      </c>
      <c r="Q19" s="47"/>
    </row>
    <row r="20" spans="1:20" ht="18.75" x14ac:dyDescent="0.3">
      <c r="A20" s="448"/>
      <c r="B20" s="145">
        <v>134</v>
      </c>
      <c r="C20" s="146">
        <v>10</v>
      </c>
      <c r="D20" s="145" t="s">
        <v>34</v>
      </c>
      <c r="E20" s="154">
        <v>3</v>
      </c>
      <c r="F20" s="155">
        <v>3</v>
      </c>
      <c r="G20" s="147">
        <v>80.39</v>
      </c>
      <c r="H20" s="148">
        <f>VLOOKUP(D20,'[1]טיפוסי דירה'!$B$1:$E$51,4,FALSE)</f>
        <v>13.15</v>
      </c>
      <c r="I20" s="149">
        <v>3.9449999999999998</v>
      </c>
      <c r="J20" s="156">
        <v>3.3</v>
      </c>
      <c r="K20" s="151">
        <v>1</v>
      </c>
      <c r="L20" s="152">
        <f>(G20+I20+(J20*0.4)+(K20*2))*$O$4</f>
        <v>594826.82999999996</v>
      </c>
      <c r="M20" s="153"/>
      <c r="N20" s="146" t="s">
        <v>30</v>
      </c>
      <c r="O20" s="155">
        <v>2</v>
      </c>
      <c r="P20" s="86"/>
      <c r="Q20" s="86"/>
      <c r="T20" s="110"/>
    </row>
    <row r="21" spans="1:20" customFormat="1" ht="15" customHeight="1" x14ac:dyDescent="0.3">
      <c r="A21" s="448"/>
      <c r="B21" s="136">
        <v>134</v>
      </c>
      <c r="C21" s="137">
        <v>11</v>
      </c>
      <c r="D21" s="136" t="s">
        <v>35</v>
      </c>
      <c r="E21" s="160">
        <v>3</v>
      </c>
      <c r="F21" s="144">
        <v>4</v>
      </c>
      <c r="G21" s="138">
        <f>VLOOKUP(D21,'[1]טיפוסי דירה'!$B$1:$E$51,3,FALSE)</f>
        <v>102.61</v>
      </c>
      <c r="H21" s="139">
        <f>VLOOKUP(D21,'[1]טיפוסי דירה'!$B$1:$E$51,4,FALSE)</f>
        <v>14.65</v>
      </c>
      <c r="I21" s="140">
        <v>4.3949999999999996</v>
      </c>
      <c r="J21" s="141">
        <v>3.78</v>
      </c>
      <c r="K21" s="136">
        <v>1</v>
      </c>
      <c r="L21" s="142"/>
      <c r="M21" s="143"/>
      <c r="N21" s="137" t="s">
        <v>32</v>
      </c>
      <c r="O21" s="144">
        <v>6</v>
      </c>
      <c r="Q21" s="2"/>
    </row>
    <row r="22" spans="1:20" ht="18.75" x14ac:dyDescent="0.3">
      <c r="A22" s="448"/>
      <c r="B22" s="145">
        <v>134</v>
      </c>
      <c r="C22" s="146">
        <v>12</v>
      </c>
      <c r="D22" s="145" t="s">
        <v>33</v>
      </c>
      <c r="E22" s="154">
        <v>4</v>
      </c>
      <c r="F22" s="155">
        <v>5</v>
      </c>
      <c r="G22" s="157">
        <v>125.53</v>
      </c>
      <c r="H22" s="158">
        <v>22.74</v>
      </c>
      <c r="I22" s="159">
        <v>6.8219999999999992</v>
      </c>
      <c r="J22" s="150">
        <v>3.57</v>
      </c>
      <c r="K22" s="151">
        <v>2</v>
      </c>
      <c r="L22" s="152">
        <f>(G22+I22+(J22*0.4)+(K22*2))*$O$4-((G22-125)*0.15*$O$4)</f>
        <v>934435.59299999999</v>
      </c>
      <c r="M22" s="153"/>
      <c r="N22" s="146" t="s">
        <v>30</v>
      </c>
      <c r="O22" s="155">
        <v>8</v>
      </c>
      <c r="P22" s="86"/>
      <c r="Q22" s="86"/>
      <c r="T22" s="110"/>
    </row>
    <row r="23" spans="1:20" ht="15" customHeight="1" x14ac:dyDescent="0.3">
      <c r="A23" s="448"/>
      <c r="B23" s="151">
        <v>134</v>
      </c>
      <c r="C23" s="161">
        <v>13</v>
      </c>
      <c r="D23" s="151" t="s">
        <v>34</v>
      </c>
      <c r="E23" s="162">
        <v>4</v>
      </c>
      <c r="F23" s="163">
        <v>3</v>
      </c>
      <c r="G23" s="147">
        <v>80.39</v>
      </c>
      <c r="H23" s="148">
        <f>VLOOKUP(D23,'[1]טיפוסי דירה'!$B$1:$E$51,4,FALSE)</f>
        <v>13.15</v>
      </c>
      <c r="I23" s="149">
        <v>3.9449999999999998</v>
      </c>
      <c r="J23" s="164">
        <v>3.24</v>
      </c>
      <c r="K23" s="151">
        <v>1</v>
      </c>
      <c r="L23" s="152">
        <f>(G23+I23+(J23*0.4)+(K23*2))*$O$4</f>
        <v>594663.96600000001</v>
      </c>
      <c r="M23" s="153"/>
      <c r="N23" s="161" t="s">
        <v>30</v>
      </c>
      <c r="O23" s="163">
        <v>3</v>
      </c>
      <c r="P23" s="86"/>
      <c r="Q23" s="86"/>
      <c r="T23" s="110"/>
    </row>
    <row r="24" spans="1:20" customFormat="1" ht="15" customHeight="1" x14ac:dyDescent="0.3">
      <c r="A24" s="448"/>
      <c r="B24" s="136">
        <v>134</v>
      </c>
      <c r="C24" s="137">
        <v>14</v>
      </c>
      <c r="D24" s="136" t="s">
        <v>35</v>
      </c>
      <c r="E24" s="160">
        <v>4</v>
      </c>
      <c r="F24" s="144">
        <v>4</v>
      </c>
      <c r="G24" s="138">
        <f>VLOOKUP(D24,'[1]טיפוסי דירה'!$B$1:$E$51,3,FALSE)</f>
        <v>102.61</v>
      </c>
      <c r="H24" s="139">
        <f>VLOOKUP(D24,'[1]טיפוסי דירה'!$B$1:$E$51,4,FALSE)</f>
        <v>14.65</v>
      </c>
      <c r="I24" s="140">
        <v>4.3949999999999996</v>
      </c>
      <c r="J24" s="141">
        <v>3.35</v>
      </c>
      <c r="K24" s="136">
        <v>1</v>
      </c>
      <c r="L24" s="142"/>
      <c r="M24" s="143"/>
      <c r="N24" s="137" t="s">
        <v>32</v>
      </c>
      <c r="O24" s="144">
        <v>4</v>
      </c>
      <c r="Q24" s="3"/>
    </row>
    <row r="25" spans="1:20" ht="18.75" x14ac:dyDescent="0.3">
      <c r="A25" s="448"/>
      <c r="B25" s="151">
        <v>134</v>
      </c>
      <c r="C25" s="161">
        <v>15</v>
      </c>
      <c r="D25" s="151" t="s">
        <v>36</v>
      </c>
      <c r="E25" s="162">
        <v>5</v>
      </c>
      <c r="F25" s="163">
        <v>6</v>
      </c>
      <c r="G25" s="147">
        <v>153.69999999999999</v>
      </c>
      <c r="H25" s="148">
        <v>36.479999999999997</v>
      </c>
      <c r="I25" s="149">
        <v>10.295999999999999</v>
      </c>
      <c r="J25" s="165">
        <v>3.39</v>
      </c>
      <c r="K25" s="151">
        <v>2</v>
      </c>
      <c r="L25" s="152">
        <f>(G25+I25+(J25*0.4)+(K25*2))*$O$4-((G25-145)*0.15*$O$4)</f>
        <v>1140366.9419999998</v>
      </c>
      <c r="M25" s="153"/>
      <c r="N25" s="161" t="s">
        <v>30</v>
      </c>
      <c r="O25" s="163">
        <v>15</v>
      </c>
      <c r="P25" s="86"/>
      <c r="Q25" s="111"/>
      <c r="T25" s="110"/>
    </row>
    <row r="26" spans="1:20" ht="18.75" x14ac:dyDescent="0.3">
      <c r="A26" s="448"/>
      <c r="B26" s="145">
        <v>134</v>
      </c>
      <c r="C26" s="146">
        <v>16</v>
      </c>
      <c r="D26" s="145" t="s">
        <v>37</v>
      </c>
      <c r="E26" s="154">
        <v>5</v>
      </c>
      <c r="F26" s="155">
        <v>6</v>
      </c>
      <c r="G26" s="166">
        <v>154.93</v>
      </c>
      <c r="H26" s="167">
        <f>VLOOKUP(D26,'[1]טיפוסי דירה'!$B$1:$E$51,4,FALSE)</f>
        <v>29.82</v>
      </c>
      <c r="I26" s="168">
        <v>8.9459999999999997</v>
      </c>
      <c r="J26" s="156">
        <v>5.16</v>
      </c>
      <c r="K26" s="145">
        <v>2</v>
      </c>
      <c r="L26" s="152">
        <f>(G26+I26+(J26*0.4)+(K26*2))*$O$4-((G26-145)*0.15*$O$4)</f>
        <v>1143105.0930000001</v>
      </c>
      <c r="M26" s="153"/>
      <c r="N26" s="146" t="s">
        <v>30</v>
      </c>
      <c r="O26" s="155">
        <v>14</v>
      </c>
      <c r="P26" s="86"/>
      <c r="Q26" s="86"/>
      <c r="T26" s="110"/>
    </row>
    <row r="27" spans="1:20" customFormat="1" ht="15" customHeight="1" x14ac:dyDescent="0.3">
      <c r="A27" s="448"/>
      <c r="B27" s="136">
        <v>134</v>
      </c>
      <c r="C27" s="137">
        <v>17</v>
      </c>
      <c r="D27" s="136" t="s">
        <v>38</v>
      </c>
      <c r="E27" s="160">
        <v>6</v>
      </c>
      <c r="F27" s="144">
        <v>5</v>
      </c>
      <c r="G27" s="138">
        <f>VLOOKUP(D27,'[1]טיפוסי דירה'!$B$1:$E$51,3,FALSE)</f>
        <v>137.02000000000001</v>
      </c>
      <c r="H27" s="139">
        <f>VLOOKUP(D27,'[1]טיפוסי דירה'!$B$1:$E$51,4,FALSE)</f>
        <v>53.61</v>
      </c>
      <c r="I27" s="140">
        <v>13.722000000000001</v>
      </c>
      <c r="J27" s="141">
        <v>3.16</v>
      </c>
      <c r="K27" s="136">
        <v>2</v>
      </c>
      <c r="L27" s="142"/>
      <c r="M27" s="143"/>
      <c r="N27" s="137" t="s">
        <v>32</v>
      </c>
      <c r="O27" s="144">
        <v>17</v>
      </c>
      <c r="Q27" s="2"/>
    </row>
    <row r="28" spans="1:20" customFormat="1" ht="15.75" customHeight="1" thickBot="1" x14ac:dyDescent="0.35">
      <c r="A28" s="452"/>
      <c r="B28" s="169">
        <v>134</v>
      </c>
      <c r="C28" s="170">
        <v>18</v>
      </c>
      <c r="D28" s="169" t="s">
        <v>39</v>
      </c>
      <c r="E28" s="171">
        <v>6</v>
      </c>
      <c r="F28" s="172">
        <v>5</v>
      </c>
      <c r="G28" s="173">
        <f>VLOOKUP(D28,'[1]טיפוסי דירה'!$B$1:$E$51,3,FALSE)</f>
        <v>134.94</v>
      </c>
      <c r="H28" s="174">
        <f>VLOOKUP(D28,'[1]טיפוסי דירה'!$B$1:$E$51,4,FALSE)</f>
        <v>36.340000000000003</v>
      </c>
      <c r="I28" s="175">
        <v>10.268000000000001</v>
      </c>
      <c r="J28" s="176">
        <v>3.25</v>
      </c>
      <c r="K28" s="169">
        <v>2</v>
      </c>
      <c r="L28" s="177"/>
      <c r="M28" s="178"/>
      <c r="N28" s="170" t="s">
        <v>32</v>
      </c>
      <c r="O28" s="172">
        <v>18</v>
      </c>
      <c r="Q28" s="2"/>
    </row>
    <row r="29" spans="1:20" customFormat="1" ht="15.75" customHeight="1" thickBot="1" x14ac:dyDescent="0.35">
      <c r="A29" s="179" t="s">
        <v>40</v>
      </c>
      <c r="B29" s="180"/>
      <c r="C29" s="181"/>
      <c r="D29" s="182"/>
      <c r="E29" s="181"/>
      <c r="F29" s="182"/>
      <c r="G29" s="183">
        <f>SUMIF(N11:N28,"כן",G11:G28)/COUNTIF(N11:N28,"כן")</f>
        <v>107.72666666666667</v>
      </c>
      <c r="H29" s="184"/>
      <c r="I29" s="185">
        <v>0</v>
      </c>
      <c r="J29" s="186"/>
      <c r="K29" s="187"/>
      <c r="L29" s="186"/>
      <c r="M29" s="187"/>
      <c r="N29" s="188">
        <f>COUNTIF(N11:N28,"כן")/COUNT(C11:C28)</f>
        <v>0.66666666666666663</v>
      </c>
      <c r="O29" s="189"/>
      <c r="Q29" s="4"/>
    </row>
    <row r="30" spans="1:20" customFormat="1" ht="15" customHeight="1" x14ac:dyDescent="0.3">
      <c r="A30" s="453" t="s">
        <v>28</v>
      </c>
      <c r="B30" s="190">
        <v>135</v>
      </c>
      <c r="C30" s="191">
        <v>1</v>
      </c>
      <c r="D30" s="190" t="s">
        <v>42</v>
      </c>
      <c r="E30" s="191" t="s">
        <v>29</v>
      </c>
      <c r="F30" s="192">
        <f>VLOOKUP(D30,'[1]טיפוסי דירה'!$B$1:$E$51,2,FALSE)</f>
        <v>3</v>
      </c>
      <c r="G30" s="193">
        <f>VLOOKUP(D30,'[1]טיפוסי דירה'!$B$1:$E$51,3,FALSE)</f>
        <v>80.72</v>
      </c>
      <c r="H30" s="194">
        <v>106.29</v>
      </c>
      <c r="I30" s="195">
        <v>19.629000000000001</v>
      </c>
      <c r="J30" s="196">
        <v>3.78</v>
      </c>
      <c r="K30" s="197">
        <v>1</v>
      </c>
      <c r="L30" s="198"/>
      <c r="M30" s="199"/>
      <c r="N30" s="191" t="s">
        <v>32</v>
      </c>
      <c r="O30" s="190">
        <v>5</v>
      </c>
      <c r="Q30" s="7"/>
    </row>
    <row r="31" spans="1:20" customFormat="1" ht="15" customHeight="1" x14ac:dyDescent="0.2">
      <c r="A31" s="444"/>
      <c r="B31" s="136">
        <v>135</v>
      </c>
      <c r="C31" s="137">
        <v>2</v>
      </c>
      <c r="D31" s="136" t="s">
        <v>43</v>
      </c>
      <c r="E31" s="137" t="s">
        <v>29</v>
      </c>
      <c r="F31" s="200">
        <f>VLOOKUP(D31,'[1]טיפוסי דירה'!$B$1:$E$51,2,FALSE)</f>
        <v>4</v>
      </c>
      <c r="G31" s="138">
        <f>VLOOKUP(D31,'[1]טיפוסי דירה'!$B$1:$E$51,3,FALSE)</f>
        <v>102.61</v>
      </c>
      <c r="H31" s="139">
        <v>183.54</v>
      </c>
      <c r="I31" s="140">
        <v>21</v>
      </c>
      <c r="J31" s="141">
        <v>3.25</v>
      </c>
      <c r="K31" s="136">
        <v>2</v>
      </c>
      <c r="L31" s="142"/>
      <c r="M31" s="143"/>
      <c r="N31" s="137" t="s">
        <v>32</v>
      </c>
      <c r="O31" s="136">
        <v>3</v>
      </c>
      <c r="Q31" s="7"/>
    </row>
    <row r="32" spans="1:20" ht="15" customHeight="1" x14ac:dyDescent="0.25">
      <c r="A32" s="444"/>
      <c r="B32" s="145">
        <v>135</v>
      </c>
      <c r="C32" s="146">
        <v>3</v>
      </c>
      <c r="D32" s="201" t="s">
        <v>33</v>
      </c>
      <c r="E32" s="202">
        <v>1</v>
      </c>
      <c r="F32" s="203">
        <f>VLOOKUP(D32,'[1]טיפוסי דירה'!$B$1:$E$51,2,FALSE)</f>
        <v>5</v>
      </c>
      <c r="G32" s="147">
        <v>125.53</v>
      </c>
      <c r="H32" s="148">
        <v>22.74</v>
      </c>
      <c r="I32" s="149">
        <v>6.8219999999999992</v>
      </c>
      <c r="J32" s="150">
        <v>3.16</v>
      </c>
      <c r="K32" s="145">
        <v>2</v>
      </c>
      <c r="L32" s="152">
        <f>(G32+I32+(J32*0.4)+(K32*2))*$O$4-((G32-125)*0.15*$O$4)</f>
        <v>933322.68900000013</v>
      </c>
      <c r="M32" s="153"/>
      <c r="N32" s="146" t="s">
        <v>30</v>
      </c>
      <c r="O32" s="204">
        <v>17</v>
      </c>
      <c r="P32" s="86"/>
      <c r="Q32" s="86"/>
      <c r="T32" s="110"/>
    </row>
    <row r="33" spans="1:23" ht="18.75" x14ac:dyDescent="0.3">
      <c r="A33" s="444"/>
      <c r="B33" s="145">
        <v>135</v>
      </c>
      <c r="C33" s="146">
        <v>4</v>
      </c>
      <c r="D33" s="201" t="s">
        <v>34</v>
      </c>
      <c r="E33" s="202">
        <v>1</v>
      </c>
      <c r="F33" s="203">
        <f>VLOOKUP(D33,'[1]טיפוסי דירה'!$B$1:$E$51,2,FALSE)</f>
        <v>3</v>
      </c>
      <c r="G33" s="147">
        <v>80.39</v>
      </c>
      <c r="H33" s="148">
        <f>VLOOKUP(D33,'[1]טיפוסי דירה'!$B$1:$E$51,4,FALSE)</f>
        <v>13.15</v>
      </c>
      <c r="I33" s="149">
        <v>3.9449999999999998</v>
      </c>
      <c r="J33" s="156">
        <v>3.3</v>
      </c>
      <c r="K33" s="155">
        <v>1</v>
      </c>
      <c r="L33" s="152">
        <f>(G33+I33+(J33*0.4)+(K33*2))*$O$4</f>
        <v>594826.82999999996</v>
      </c>
      <c r="M33" s="153"/>
      <c r="N33" s="146" t="s">
        <v>30</v>
      </c>
      <c r="O33" s="204">
        <v>2</v>
      </c>
      <c r="P33" s="86"/>
      <c r="Q33" s="86"/>
      <c r="T33" s="110"/>
    </row>
    <row r="34" spans="1:23" ht="18.75" x14ac:dyDescent="0.3">
      <c r="A34" s="444"/>
      <c r="B34" s="145">
        <v>135</v>
      </c>
      <c r="C34" s="146">
        <v>5</v>
      </c>
      <c r="D34" s="201" t="s">
        <v>35</v>
      </c>
      <c r="E34" s="202">
        <v>1</v>
      </c>
      <c r="F34" s="203">
        <f>VLOOKUP(D34,'[1]טיפוסי דירה'!$B$1:$E$51,2,FALSE)</f>
        <v>4</v>
      </c>
      <c r="G34" s="147">
        <v>102.6</v>
      </c>
      <c r="H34" s="148">
        <f>VLOOKUP(D34,'[1]טיפוסי דירה'!$B$1:$E$51,4,FALSE)</f>
        <v>14.65</v>
      </c>
      <c r="I34" s="149">
        <v>4.3949999999999996</v>
      </c>
      <c r="J34" s="150">
        <v>3.78</v>
      </c>
      <c r="K34" s="155">
        <v>1</v>
      </c>
      <c r="L34" s="152">
        <f>(G34+I34+(J34*0.4)+(K34*2))*$O$4</f>
        <v>749900.50199999998</v>
      </c>
      <c r="M34" s="153"/>
      <c r="N34" s="146" t="s">
        <v>30</v>
      </c>
      <c r="O34" s="204">
        <v>6</v>
      </c>
      <c r="P34" s="86"/>
      <c r="Q34" s="86"/>
      <c r="T34" s="110"/>
    </row>
    <row r="35" spans="1:23" ht="18.75" x14ac:dyDescent="0.25">
      <c r="A35" s="444"/>
      <c r="B35" s="145">
        <v>135</v>
      </c>
      <c r="C35" s="146">
        <v>6</v>
      </c>
      <c r="D35" s="201" t="s">
        <v>33</v>
      </c>
      <c r="E35" s="202">
        <v>2</v>
      </c>
      <c r="F35" s="203">
        <f>VLOOKUP(D35,'[1]טיפוסי דירה'!$B$1:$E$51,2,FALSE)</f>
        <v>5</v>
      </c>
      <c r="G35" s="147">
        <v>125.53</v>
      </c>
      <c r="H35" s="148">
        <v>22.74</v>
      </c>
      <c r="I35" s="149">
        <v>6.8219999999999992</v>
      </c>
      <c r="J35" s="150">
        <v>3.57</v>
      </c>
      <c r="K35" s="145">
        <v>2</v>
      </c>
      <c r="L35" s="152">
        <f>(G35+I35+(J35*0.4)+(K35*2))*$O$4-((G35-125)*0.15*$O$4)</f>
        <v>934435.59299999999</v>
      </c>
      <c r="M35" s="153"/>
      <c r="N35" s="146" t="s">
        <v>30</v>
      </c>
      <c r="O35" s="204">
        <v>7</v>
      </c>
      <c r="P35" s="86"/>
      <c r="Q35" s="86"/>
      <c r="T35" s="110"/>
    </row>
    <row r="36" spans="1:23" customFormat="1" ht="15" customHeight="1" x14ac:dyDescent="0.3">
      <c r="A36" s="444"/>
      <c r="B36" s="136">
        <v>135</v>
      </c>
      <c r="C36" s="137">
        <v>7</v>
      </c>
      <c r="D36" s="136" t="s">
        <v>34</v>
      </c>
      <c r="E36" s="137">
        <v>2</v>
      </c>
      <c r="F36" s="200">
        <f>VLOOKUP(D36,'[1]טיפוסי דירה'!$B$1:$E$51,2,FALSE)</f>
        <v>3</v>
      </c>
      <c r="G36" s="138">
        <f>VLOOKUP(D36,'[1]טיפוסי דירה'!$B$1:$E$51,3,FALSE)</f>
        <v>80.06</v>
      </c>
      <c r="H36" s="139">
        <f>VLOOKUP(D36,'[1]טיפוסי דירה'!$B$1:$E$51,4,FALSE)</f>
        <v>13.15</v>
      </c>
      <c r="I36" s="140">
        <v>3.9449999999999998</v>
      </c>
      <c r="J36" s="205">
        <v>5.96</v>
      </c>
      <c r="K36" s="144">
        <v>1</v>
      </c>
      <c r="L36" s="142"/>
      <c r="M36" s="143"/>
      <c r="N36" s="142" t="s">
        <v>32</v>
      </c>
      <c r="O36" s="136">
        <v>11</v>
      </c>
      <c r="Q36" s="107"/>
    </row>
    <row r="37" spans="1:23" ht="18.75" x14ac:dyDescent="0.25">
      <c r="A37" s="444"/>
      <c r="B37" s="145">
        <v>135</v>
      </c>
      <c r="C37" s="146">
        <v>8</v>
      </c>
      <c r="D37" s="201" t="s">
        <v>35</v>
      </c>
      <c r="E37" s="202">
        <v>2</v>
      </c>
      <c r="F37" s="203">
        <f>VLOOKUP(D37,'[1]טיפוסי דירה'!$B$1:$E$51,2,FALSE)</f>
        <v>4</v>
      </c>
      <c r="G37" s="147">
        <v>102.6</v>
      </c>
      <c r="H37" s="148">
        <f>VLOOKUP(D37,'[1]טיפוסי דירה'!$B$1:$E$51,4,FALSE)</f>
        <v>14.65</v>
      </c>
      <c r="I37" s="149">
        <v>4.3949999999999996</v>
      </c>
      <c r="J37" s="150">
        <v>5.16</v>
      </c>
      <c r="K37" s="145">
        <v>1</v>
      </c>
      <c r="L37" s="152">
        <f>(G37+I37+(J37*0.4)+(K37*2))*$O$4</f>
        <v>753646.37399999995</v>
      </c>
      <c r="M37" s="153"/>
      <c r="N37" s="146" t="s">
        <v>30</v>
      </c>
      <c r="O37" s="204">
        <v>14</v>
      </c>
      <c r="P37" s="86"/>
      <c r="Q37" s="86"/>
      <c r="T37" s="110"/>
    </row>
    <row r="38" spans="1:23" ht="18.75" x14ac:dyDescent="0.3">
      <c r="A38" s="444"/>
      <c r="B38" s="151">
        <v>135</v>
      </c>
      <c r="C38" s="161">
        <v>9</v>
      </c>
      <c r="D38" s="201" t="s">
        <v>33</v>
      </c>
      <c r="E38" s="202">
        <v>3</v>
      </c>
      <c r="F38" s="203">
        <f>VLOOKUP(D38,'[1]טיפוסי דירה'!$B$1:$E$51,2,FALSE)</f>
        <v>5</v>
      </c>
      <c r="G38" s="147">
        <v>125.53</v>
      </c>
      <c r="H38" s="148">
        <v>22.74</v>
      </c>
      <c r="I38" s="149">
        <v>6.8219999999999992</v>
      </c>
      <c r="J38" s="165">
        <v>3.57</v>
      </c>
      <c r="K38" s="163">
        <v>2</v>
      </c>
      <c r="L38" s="152">
        <f>(G38+I38+(J38*0.4)+(K38*2))*$O$4-((G38-125)*0.15*$O$4)</f>
        <v>934435.59299999999</v>
      </c>
      <c r="M38" s="153"/>
      <c r="N38" s="161" t="s">
        <v>30</v>
      </c>
      <c r="O38" s="201">
        <v>8</v>
      </c>
      <c r="P38" s="86"/>
      <c r="Q38" s="86"/>
      <c r="T38" s="110"/>
    </row>
    <row r="39" spans="1:23" ht="18.75" x14ac:dyDescent="0.3">
      <c r="A39" s="444"/>
      <c r="B39" s="145">
        <v>135</v>
      </c>
      <c r="C39" s="146">
        <v>10</v>
      </c>
      <c r="D39" s="201" t="s">
        <v>34</v>
      </c>
      <c r="E39" s="202">
        <v>3</v>
      </c>
      <c r="F39" s="203">
        <f>VLOOKUP(D39,'[1]טיפוסי דירה'!$B$1:$E$51,2,FALSE)</f>
        <v>3</v>
      </c>
      <c r="G39" s="147">
        <v>80.39</v>
      </c>
      <c r="H39" s="148">
        <f>VLOOKUP(D39,'[1]טיפוסי דירה'!$B$1:$E$51,4,FALSE)</f>
        <v>13.15</v>
      </c>
      <c r="I39" s="149">
        <v>3.9449999999999998</v>
      </c>
      <c r="J39" s="156">
        <v>3.87</v>
      </c>
      <c r="K39" s="145">
        <v>1</v>
      </c>
      <c r="L39" s="152">
        <f>(G39+I39+(J39*0.4)+(K39*2))*$O$4</f>
        <v>596374.03799999994</v>
      </c>
      <c r="M39" s="153"/>
      <c r="N39" s="146" t="s">
        <v>30</v>
      </c>
      <c r="O39" s="204">
        <v>12</v>
      </c>
      <c r="P39" s="86"/>
      <c r="Q39" s="86"/>
      <c r="T39" s="110"/>
    </row>
    <row r="40" spans="1:23" customFormat="1" ht="15" customHeight="1" x14ac:dyDescent="0.3">
      <c r="A40" s="444"/>
      <c r="B40" s="136">
        <v>135</v>
      </c>
      <c r="C40" s="137">
        <v>11</v>
      </c>
      <c r="D40" s="136" t="s">
        <v>35</v>
      </c>
      <c r="E40" s="137">
        <v>3</v>
      </c>
      <c r="F40" s="200">
        <f>VLOOKUP(D40,'[1]טיפוסי דירה'!$B$1:$E$51,2,FALSE)</f>
        <v>4</v>
      </c>
      <c r="G40" s="138">
        <f>VLOOKUP(D40,'[1]טיפוסי דירה'!$B$1:$E$51,3,FALSE)</f>
        <v>102.61</v>
      </c>
      <c r="H40" s="139">
        <f>VLOOKUP(D40,'[1]טיפוסי דירה'!$B$1:$E$51,4,FALSE)</f>
        <v>14.65</v>
      </c>
      <c r="I40" s="140">
        <v>4.3949999999999996</v>
      </c>
      <c r="J40" s="141">
        <v>3.68</v>
      </c>
      <c r="K40" s="144">
        <v>1</v>
      </c>
      <c r="L40" s="142"/>
      <c r="M40" s="143"/>
      <c r="N40" s="137" t="s">
        <v>32</v>
      </c>
      <c r="O40" s="136">
        <v>9</v>
      </c>
      <c r="Q40" s="7"/>
    </row>
    <row r="41" spans="1:23" customFormat="1" ht="15" customHeight="1" x14ac:dyDescent="0.2">
      <c r="A41" s="444"/>
      <c r="B41" s="136">
        <v>135</v>
      </c>
      <c r="C41" s="137">
        <v>12</v>
      </c>
      <c r="D41" s="136" t="s">
        <v>33</v>
      </c>
      <c r="E41" s="137">
        <v>4</v>
      </c>
      <c r="F41" s="200">
        <f>VLOOKUP(D41,'[1]טיפוסי דירה'!$B$1:$E$51,2,FALSE)</f>
        <v>5</v>
      </c>
      <c r="G41" s="138">
        <f>VLOOKUP(D41,'[1]טיפוסי דירה'!$B$1:$E$51,3,FALSE)</f>
        <v>125.37</v>
      </c>
      <c r="H41" s="139">
        <f>VLOOKUP(D41,'[1]טיפוסי דירה'!$B$1:$E$51,4,FALSE)</f>
        <v>22.96</v>
      </c>
      <c r="I41" s="140">
        <v>6.8879999999999999</v>
      </c>
      <c r="J41" s="141">
        <v>3.35</v>
      </c>
      <c r="K41" s="136">
        <v>2</v>
      </c>
      <c r="L41" s="142"/>
      <c r="M41" s="206"/>
      <c r="N41" s="137" t="s">
        <v>32</v>
      </c>
      <c r="O41" s="136">
        <v>4</v>
      </c>
      <c r="Q41" s="7"/>
    </row>
    <row r="42" spans="1:23" customFormat="1" ht="15" customHeight="1" x14ac:dyDescent="0.2">
      <c r="A42" s="444"/>
      <c r="B42" s="136">
        <v>135</v>
      </c>
      <c r="C42" s="137">
        <v>13</v>
      </c>
      <c r="D42" s="136" t="s">
        <v>34</v>
      </c>
      <c r="E42" s="137">
        <v>4</v>
      </c>
      <c r="F42" s="136">
        <f>VLOOKUP(D42,'[1]טיפוסי דירה'!$B$1:$E$51,2,FALSE)</f>
        <v>3</v>
      </c>
      <c r="G42" s="137">
        <f>VLOOKUP(D42,'[1]טיפוסי דירה'!$B$1:$E$51,3,FALSE)</f>
        <v>80.06</v>
      </c>
      <c r="H42" s="136">
        <f>VLOOKUP(D42,'[1]טיפוסי דירה'!$B$1:$E$51,4,FALSE)</f>
        <v>13.15</v>
      </c>
      <c r="I42" s="207">
        <v>3.9449999999999998</v>
      </c>
      <c r="J42" s="141">
        <v>3.85</v>
      </c>
      <c r="K42" s="136">
        <v>1</v>
      </c>
      <c r="L42" s="137"/>
      <c r="M42" s="136"/>
      <c r="N42" s="137" t="s">
        <v>32</v>
      </c>
      <c r="O42" s="136">
        <v>13</v>
      </c>
      <c r="Q42" s="8"/>
      <c r="R42" s="8"/>
      <c r="S42" s="8"/>
      <c r="T42" s="8"/>
      <c r="U42" s="8"/>
    </row>
    <row r="43" spans="1:23" customFormat="1" ht="15" customHeight="1" x14ac:dyDescent="0.2">
      <c r="A43" s="444"/>
      <c r="B43" s="136">
        <v>135</v>
      </c>
      <c r="C43" s="137">
        <v>14</v>
      </c>
      <c r="D43" s="136" t="s">
        <v>35</v>
      </c>
      <c r="E43" s="137">
        <v>4</v>
      </c>
      <c r="F43" s="200">
        <f>VLOOKUP(D43,'[1]טיפוסי דירה'!$B$1:$E$51,2,FALSE)</f>
        <v>4</v>
      </c>
      <c r="G43" s="138">
        <f>VLOOKUP(D43,'[1]טיפוסי דירה'!$B$1:$E$51,3,FALSE)</f>
        <v>102.61</v>
      </c>
      <c r="H43" s="139">
        <f>VLOOKUP(D43,'[1]טיפוסי דירה'!$B$1:$E$51,4,FALSE)</f>
        <v>14.65</v>
      </c>
      <c r="I43" s="140">
        <v>4.3949999999999996</v>
      </c>
      <c r="J43" s="141">
        <v>3.39</v>
      </c>
      <c r="K43" s="136">
        <v>2</v>
      </c>
      <c r="L43" s="142"/>
      <c r="M43" s="143"/>
      <c r="N43" s="137" t="s">
        <v>32</v>
      </c>
      <c r="O43" s="136">
        <v>15</v>
      </c>
      <c r="Q43" s="7"/>
    </row>
    <row r="44" spans="1:23" ht="15" customHeight="1" x14ac:dyDescent="0.3">
      <c r="A44" s="444"/>
      <c r="B44" s="151">
        <v>135</v>
      </c>
      <c r="C44" s="161">
        <v>15</v>
      </c>
      <c r="D44" s="201" t="s">
        <v>36</v>
      </c>
      <c r="E44" s="202">
        <v>5</v>
      </c>
      <c r="F44" s="203">
        <f>VLOOKUP(D44,'[1]טיפוסי דירה'!$B$1:$E$51,2,FALSE)</f>
        <v>6</v>
      </c>
      <c r="G44" s="147">
        <v>153.69999999999999</v>
      </c>
      <c r="H44" s="148">
        <v>36.479999999999997</v>
      </c>
      <c r="I44" s="149">
        <v>10.295999999999999</v>
      </c>
      <c r="J44" s="165">
        <v>3.15</v>
      </c>
      <c r="K44" s="163">
        <v>2</v>
      </c>
      <c r="L44" s="152">
        <f>(G44+I44+(J44*0.4)+(K44*2))*$O$4-((G44-145)*0.15*$O$4)</f>
        <v>1139715.4859999998</v>
      </c>
      <c r="M44" s="153"/>
      <c r="N44" s="161" t="s">
        <v>30</v>
      </c>
      <c r="O44" s="201">
        <v>16</v>
      </c>
      <c r="P44" s="86"/>
      <c r="Q44" s="86"/>
      <c r="T44" s="110"/>
    </row>
    <row r="45" spans="1:23" ht="18.75" x14ac:dyDescent="0.3">
      <c r="A45" s="444"/>
      <c r="B45" s="145">
        <v>135</v>
      </c>
      <c r="C45" s="146">
        <v>16</v>
      </c>
      <c r="D45" s="204" t="s">
        <v>37</v>
      </c>
      <c r="E45" s="208">
        <v>5</v>
      </c>
      <c r="F45" s="209">
        <f>VLOOKUP(D45,'[1]טיפוסי דירה'!$B$1:$E$51,2,FALSE)</f>
        <v>6</v>
      </c>
      <c r="G45" s="166">
        <v>154.93</v>
      </c>
      <c r="H45" s="167">
        <f>VLOOKUP(D45,'[1]טיפוסי דירה'!$B$1:$E$51,4,FALSE)</f>
        <v>29.82</v>
      </c>
      <c r="I45" s="168">
        <v>8.9459999999999997</v>
      </c>
      <c r="J45" s="156">
        <v>3.48</v>
      </c>
      <c r="K45" s="145">
        <v>2</v>
      </c>
      <c r="L45" s="152">
        <f>(G45+I45+(J45*0.4)+(K45*2))*$O$4-((G45-145)*0.15*$O$4)</f>
        <v>1138544.9010000001</v>
      </c>
      <c r="M45" s="153"/>
      <c r="N45" s="146" t="s">
        <v>30</v>
      </c>
      <c r="O45" s="204">
        <v>10</v>
      </c>
      <c r="P45" s="86"/>
      <c r="Q45" s="108"/>
      <c r="T45" s="110"/>
    </row>
    <row r="46" spans="1:23" customFormat="1" ht="15" customHeight="1" x14ac:dyDescent="0.3">
      <c r="A46" s="444"/>
      <c r="B46" s="136">
        <v>135</v>
      </c>
      <c r="C46" s="137">
        <v>17</v>
      </c>
      <c r="D46" s="136" t="s">
        <v>38</v>
      </c>
      <c r="E46" s="137">
        <v>6</v>
      </c>
      <c r="F46" s="200">
        <f>VLOOKUP(D46,'[1]טיפוסי דירה'!$B$1:$E$51,2,FALSE)</f>
        <v>5</v>
      </c>
      <c r="G46" s="138">
        <f>VLOOKUP(D46,'[1]טיפוסי דירה'!$B$1:$E$51,3,FALSE)</f>
        <v>137.02000000000001</v>
      </c>
      <c r="H46" s="139">
        <f>VLOOKUP(D46,'[1]טיפוסי דירה'!$B$1:$E$51,4,FALSE)</f>
        <v>53.61</v>
      </c>
      <c r="I46" s="140">
        <v>13.722000000000001</v>
      </c>
      <c r="J46" s="141">
        <v>3.25</v>
      </c>
      <c r="K46" s="144">
        <v>2</v>
      </c>
      <c r="L46" s="142"/>
      <c r="M46" s="143"/>
      <c r="N46" s="137" t="s">
        <v>32</v>
      </c>
      <c r="O46" s="136">
        <v>18</v>
      </c>
      <c r="Q46" s="7"/>
    </row>
    <row r="47" spans="1:23" customFormat="1" ht="15.75" customHeight="1" thickBot="1" x14ac:dyDescent="0.25">
      <c r="A47" s="454"/>
      <c r="B47" s="210">
        <v>135</v>
      </c>
      <c r="C47" s="211">
        <v>18</v>
      </c>
      <c r="D47" s="210" t="s">
        <v>39</v>
      </c>
      <c r="E47" s="211">
        <v>6</v>
      </c>
      <c r="F47" s="212">
        <f>VLOOKUP(D47,'[1]טיפוסי דירה'!$B$1:$E$51,2,FALSE)</f>
        <v>5</v>
      </c>
      <c r="G47" s="213">
        <f>VLOOKUP(D47,'[1]טיפוסי דירה'!$B$1:$E$51,3,FALSE)</f>
        <v>134.94</v>
      </c>
      <c r="H47" s="214">
        <f>VLOOKUP(D47,'[1]טיפוסי דירה'!$B$1:$E$51,4,FALSE)</f>
        <v>36.340000000000003</v>
      </c>
      <c r="I47" s="215">
        <v>10.268000000000001</v>
      </c>
      <c r="J47" s="216">
        <v>3.51</v>
      </c>
      <c r="K47" s="210">
        <v>2</v>
      </c>
      <c r="L47" s="177"/>
      <c r="M47" s="217"/>
      <c r="N47" s="211" t="s">
        <v>32</v>
      </c>
      <c r="O47" s="210">
        <v>1</v>
      </c>
      <c r="Q47" s="7"/>
      <c r="V47" s="1"/>
      <c r="W47" s="1"/>
    </row>
    <row r="48" spans="1:23" customFormat="1" ht="15.75" customHeight="1" thickBot="1" x14ac:dyDescent="0.35">
      <c r="A48" s="281" t="s">
        <v>40</v>
      </c>
      <c r="B48" s="282"/>
      <c r="C48" s="283"/>
      <c r="D48" s="284"/>
      <c r="E48" s="283"/>
      <c r="F48" s="284"/>
      <c r="G48" s="183">
        <f>SUMIF(N30:N47,"כן",G30:G47)/COUNTIF(N30:N47,"כן")</f>
        <v>116.80000000000001</v>
      </c>
      <c r="H48" s="223"/>
      <c r="I48" s="185">
        <v>0</v>
      </c>
      <c r="J48" s="186"/>
      <c r="K48" s="187"/>
      <c r="L48" s="186"/>
      <c r="M48" s="221"/>
      <c r="N48" s="222">
        <f>COUNTIF(N30:N47,"כן")/COUNT(C30:C47)</f>
        <v>0.5</v>
      </c>
      <c r="O48" s="223"/>
      <c r="Q48" s="1"/>
    </row>
    <row r="49" spans="1:20" customFormat="1" ht="15" customHeight="1" x14ac:dyDescent="0.3">
      <c r="A49" s="453" t="s">
        <v>28</v>
      </c>
      <c r="B49" s="190">
        <v>136</v>
      </c>
      <c r="C49" s="191">
        <v>1</v>
      </c>
      <c r="D49" s="190" t="s">
        <v>42</v>
      </c>
      <c r="E49" s="191" t="s">
        <v>29</v>
      </c>
      <c r="F49" s="192">
        <f>VLOOKUP(D49,'[1]טיפוסי דירה'!$B$1:$E$51,2,FALSE)</f>
        <v>3</v>
      </c>
      <c r="G49" s="193">
        <f>VLOOKUP(D49,'[1]טיפוסי דירה'!$B$1:$E$51,3,FALSE)</f>
        <v>80.72</v>
      </c>
      <c r="H49" s="194">
        <v>148.80000000000001</v>
      </c>
      <c r="I49" s="195">
        <v>21</v>
      </c>
      <c r="J49" s="196">
        <v>3.78</v>
      </c>
      <c r="K49" s="197">
        <v>1</v>
      </c>
      <c r="L49" s="198"/>
      <c r="M49" s="199"/>
      <c r="N49" s="224" t="s">
        <v>32</v>
      </c>
      <c r="O49" s="190">
        <v>5</v>
      </c>
      <c r="Q49" s="7"/>
    </row>
    <row r="50" spans="1:20" customFormat="1" ht="15" customHeight="1" x14ac:dyDescent="0.3">
      <c r="A50" s="444"/>
      <c r="B50" s="136">
        <v>136</v>
      </c>
      <c r="C50" s="137">
        <v>2</v>
      </c>
      <c r="D50" s="136" t="s">
        <v>43</v>
      </c>
      <c r="E50" s="137" t="s">
        <v>29</v>
      </c>
      <c r="F50" s="200">
        <f>VLOOKUP(D50,'[1]טיפוסי דירה'!$B$1:$E$51,2,FALSE)</f>
        <v>4</v>
      </c>
      <c r="G50" s="138">
        <f>VLOOKUP(D50,'[1]טיפוסי דירה'!$B$1:$E$51,3,FALSE)</f>
        <v>102.61</v>
      </c>
      <c r="H50" s="139">
        <v>218.18</v>
      </c>
      <c r="I50" s="140">
        <v>21</v>
      </c>
      <c r="J50" s="141">
        <v>3.78</v>
      </c>
      <c r="K50" s="136">
        <v>2</v>
      </c>
      <c r="L50" s="142"/>
      <c r="M50" s="143"/>
      <c r="N50" s="160" t="s">
        <v>32</v>
      </c>
      <c r="O50" s="136">
        <v>6</v>
      </c>
      <c r="Q50" s="7"/>
    </row>
    <row r="51" spans="1:20" ht="18.75" x14ac:dyDescent="0.3">
      <c r="A51" s="444"/>
      <c r="B51" s="145">
        <v>136</v>
      </c>
      <c r="C51" s="146">
        <v>3</v>
      </c>
      <c r="D51" s="201" t="s">
        <v>33</v>
      </c>
      <c r="E51" s="202">
        <v>1</v>
      </c>
      <c r="F51" s="203">
        <f>VLOOKUP(D51,'[1]טיפוסי דירה'!$B$1:$E$51,2,FALSE)</f>
        <v>5</v>
      </c>
      <c r="G51" s="147">
        <v>125.53</v>
      </c>
      <c r="H51" s="148">
        <v>22.74</v>
      </c>
      <c r="I51" s="149">
        <v>6.8219999999999992</v>
      </c>
      <c r="J51" s="150">
        <v>3.25</v>
      </c>
      <c r="K51" s="145">
        <v>2</v>
      </c>
      <c r="L51" s="152">
        <f>(G51+I51+(J51*0.4)+(K51*2))*$O$4-((G51-125)*0.15*$O$4)</f>
        <v>933566.9850000001</v>
      </c>
      <c r="M51" s="153"/>
      <c r="N51" s="154" t="s">
        <v>30</v>
      </c>
      <c r="O51" s="204">
        <v>18</v>
      </c>
      <c r="P51" s="86"/>
      <c r="Q51" s="86"/>
      <c r="T51" s="110"/>
    </row>
    <row r="52" spans="1:20" ht="18.75" x14ac:dyDescent="0.3">
      <c r="A52" s="444"/>
      <c r="B52" s="145">
        <v>136</v>
      </c>
      <c r="C52" s="146">
        <v>4</v>
      </c>
      <c r="D52" s="201" t="s">
        <v>34</v>
      </c>
      <c r="E52" s="202">
        <v>1</v>
      </c>
      <c r="F52" s="203">
        <f>VLOOKUP(D52,'[1]טיפוסי דירה'!$B$1:$E$51,2,FALSE)</f>
        <v>3</v>
      </c>
      <c r="G52" s="147">
        <v>80.39</v>
      </c>
      <c r="H52" s="148">
        <f>VLOOKUP(D52,'[1]טיפוסי דירה'!$B$1:$E$51,4,FALSE)</f>
        <v>13.15</v>
      </c>
      <c r="I52" s="149">
        <v>3.9449999999999998</v>
      </c>
      <c r="J52" s="156">
        <v>3.3</v>
      </c>
      <c r="K52" s="155">
        <v>1</v>
      </c>
      <c r="L52" s="152">
        <f>(G52+I52+(J52*0.4)+(K52*2))*$O$4</f>
        <v>594826.82999999996</v>
      </c>
      <c r="M52" s="153"/>
      <c r="N52" s="154" t="s">
        <v>30</v>
      </c>
      <c r="O52" s="204">
        <v>2</v>
      </c>
      <c r="P52" s="86"/>
      <c r="Q52" s="86"/>
      <c r="T52" s="110"/>
    </row>
    <row r="53" spans="1:20" ht="18.75" x14ac:dyDescent="0.3">
      <c r="A53" s="444"/>
      <c r="B53" s="145">
        <v>136</v>
      </c>
      <c r="C53" s="146">
        <v>5</v>
      </c>
      <c r="D53" s="201" t="s">
        <v>35</v>
      </c>
      <c r="E53" s="202">
        <v>1</v>
      </c>
      <c r="F53" s="203">
        <f>VLOOKUP(D53,'[1]טיפוסי דירה'!$B$1:$E$51,2,FALSE)</f>
        <v>4</v>
      </c>
      <c r="G53" s="147">
        <v>102.6</v>
      </c>
      <c r="H53" s="148">
        <f>VLOOKUP(D53,'[1]טיפוסי דירה'!$B$1:$E$51,4,FALSE)</f>
        <v>14.65</v>
      </c>
      <c r="I53" s="149">
        <v>4.3949999999999996</v>
      </c>
      <c r="J53" s="150">
        <v>3.87</v>
      </c>
      <c r="K53" s="155">
        <v>1</v>
      </c>
      <c r="L53" s="152">
        <f>(G53+I53+(J53*0.4)+(K53*2))*$O$4</f>
        <v>750144.79799999995</v>
      </c>
      <c r="M53" s="153"/>
      <c r="N53" s="154" t="s">
        <v>30</v>
      </c>
      <c r="O53" s="204">
        <v>12</v>
      </c>
      <c r="P53" s="86"/>
      <c r="Q53" s="86"/>
      <c r="T53" s="110"/>
    </row>
    <row r="54" spans="1:20" ht="18.75" x14ac:dyDescent="0.3">
      <c r="A54" s="444"/>
      <c r="B54" s="145">
        <v>136</v>
      </c>
      <c r="C54" s="146">
        <v>6</v>
      </c>
      <c r="D54" s="201" t="s">
        <v>33</v>
      </c>
      <c r="E54" s="202">
        <v>2</v>
      </c>
      <c r="F54" s="203">
        <f>VLOOKUP(D54,'[1]טיפוסי דירה'!$B$1:$E$51,2,FALSE)</f>
        <v>5</v>
      </c>
      <c r="G54" s="147">
        <v>125.53</v>
      </c>
      <c r="H54" s="148">
        <v>22.74</v>
      </c>
      <c r="I54" s="149">
        <v>6.8219999999999992</v>
      </c>
      <c r="J54" s="150">
        <v>3.39</v>
      </c>
      <c r="K54" s="145">
        <v>2</v>
      </c>
      <c r="L54" s="152">
        <f>(G54+I54+(J54*0.4)+(K54*2))*$O$4-((G54-125)*0.15*$O$4)</f>
        <v>933947.00100000005</v>
      </c>
      <c r="M54" s="153"/>
      <c r="N54" s="154" t="s">
        <v>30</v>
      </c>
      <c r="O54" s="204">
        <v>15</v>
      </c>
      <c r="P54" s="86"/>
      <c r="Q54" s="86"/>
      <c r="S54" s="112"/>
      <c r="T54" s="110"/>
    </row>
    <row r="55" spans="1:20" ht="15" customHeight="1" x14ac:dyDescent="0.3">
      <c r="A55" s="444"/>
      <c r="B55" s="145">
        <v>136</v>
      </c>
      <c r="C55" s="146">
        <v>7</v>
      </c>
      <c r="D55" s="201" t="s">
        <v>34</v>
      </c>
      <c r="E55" s="202">
        <v>2</v>
      </c>
      <c r="F55" s="203">
        <f>VLOOKUP(D55,'[1]טיפוסי דירה'!$B$1:$E$51,2,FALSE)</f>
        <v>3</v>
      </c>
      <c r="G55" s="147">
        <v>80.39</v>
      </c>
      <c r="H55" s="148">
        <f>VLOOKUP(D55,'[1]טיפוסי דירה'!$B$1:$E$51,4,FALSE)</f>
        <v>13.15</v>
      </c>
      <c r="I55" s="149">
        <v>3.9449999999999998</v>
      </c>
      <c r="J55" s="156">
        <v>3.15</v>
      </c>
      <c r="K55" s="155">
        <v>1</v>
      </c>
      <c r="L55" s="152">
        <f>(G55+I55+(J55*0.4)+(K55*2))*$O$4</f>
        <v>594419.67000000004</v>
      </c>
      <c r="M55" s="153"/>
      <c r="N55" s="154" t="s">
        <v>30</v>
      </c>
      <c r="O55" s="204">
        <v>17</v>
      </c>
      <c r="P55" s="86"/>
      <c r="Q55" s="86"/>
      <c r="T55" s="110"/>
    </row>
    <row r="56" spans="1:20" customFormat="1" ht="15" customHeight="1" x14ac:dyDescent="0.3">
      <c r="A56" s="444"/>
      <c r="B56" s="136">
        <v>136</v>
      </c>
      <c r="C56" s="137">
        <v>8</v>
      </c>
      <c r="D56" s="136" t="s">
        <v>35</v>
      </c>
      <c r="E56" s="137">
        <v>2</v>
      </c>
      <c r="F56" s="200">
        <f>VLOOKUP(D56,'[1]טיפוסי דירה'!$B$1:$E$51,2,FALSE)</f>
        <v>4</v>
      </c>
      <c r="G56" s="138">
        <f>VLOOKUP(D56,'[1]טיפוסי דירה'!$B$1:$E$51,3,FALSE)</f>
        <v>102.61</v>
      </c>
      <c r="H56" s="139">
        <f>VLOOKUP(D56,'[1]טיפוסי דירה'!$B$1:$E$51,4,FALSE)</f>
        <v>14.65</v>
      </c>
      <c r="I56" s="140">
        <v>4.3949999999999996</v>
      </c>
      <c r="J56" s="141">
        <v>5.96</v>
      </c>
      <c r="K56" s="136">
        <v>1</v>
      </c>
      <c r="L56" s="142"/>
      <c r="M56" s="143"/>
      <c r="N56" s="160" t="s">
        <v>32</v>
      </c>
      <c r="O56" s="136">
        <v>11</v>
      </c>
      <c r="Q56" s="7"/>
    </row>
    <row r="57" spans="1:20" customFormat="1" ht="15" customHeight="1" x14ac:dyDescent="0.2">
      <c r="A57" s="444"/>
      <c r="B57" s="136">
        <v>136</v>
      </c>
      <c r="C57" s="137">
        <v>9</v>
      </c>
      <c r="D57" s="136" t="s">
        <v>33</v>
      </c>
      <c r="E57" s="137">
        <v>3</v>
      </c>
      <c r="F57" s="136">
        <f>VLOOKUP(D57,'[1]טיפוסי דירה'!$B$1:$E$51,2,FALSE)</f>
        <v>5</v>
      </c>
      <c r="G57" s="137">
        <f>VLOOKUP(D57,'[1]טיפוסי דירה'!$B$1:$E$51,3,FALSE)</f>
        <v>125.37</v>
      </c>
      <c r="H57" s="136">
        <f>VLOOKUP(D57,'[1]טיפוסי דירה'!$B$1:$E$51,4,FALSE)</f>
        <v>22.96</v>
      </c>
      <c r="I57" s="207">
        <v>6.8879999999999999</v>
      </c>
      <c r="J57" s="141">
        <v>3.51</v>
      </c>
      <c r="K57" s="136">
        <v>2</v>
      </c>
      <c r="L57" s="137"/>
      <c r="M57" s="136"/>
      <c r="N57" s="137" t="s">
        <v>32</v>
      </c>
      <c r="O57" s="136">
        <v>1</v>
      </c>
      <c r="Q57" s="8"/>
      <c r="R57" s="8"/>
      <c r="S57" s="8"/>
      <c r="T57" s="8"/>
    </row>
    <row r="58" spans="1:20" customFormat="1" ht="15" customHeight="1" x14ac:dyDescent="0.3">
      <c r="A58" s="444"/>
      <c r="B58" s="136">
        <v>136</v>
      </c>
      <c r="C58" s="137">
        <v>10</v>
      </c>
      <c r="D58" s="136" t="s">
        <v>34</v>
      </c>
      <c r="E58" s="137">
        <v>3</v>
      </c>
      <c r="F58" s="200">
        <f>VLOOKUP(D58,'[1]טיפוסי דירה'!$B$1:$E$51,2,FALSE)</f>
        <v>3</v>
      </c>
      <c r="G58" s="138">
        <f>VLOOKUP(D58,'[1]טיפוסי דירה'!$B$1:$E$51,3,FALSE)</f>
        <v>80.06</v>
      </c>
      <c r="H58" s="139">
        <f>VLOOKUP(D58,'[1]טיפוסי דירה'!$B$1:$E$51,4,FALSE)</f>
        <v>13.15</v>
      </c>
      <c r="I58" s="140">
        <v>3.9449999999999998</v>
      </c>
      <c r="J58" s="205">
        <v>5.16</v>
      </c>
      <c r="K58" s="136">
        <v>1</v>
      </c>
      <c r="L58" s="142"/>
      <c r="M58" s="143"/>
      <c r="N58" s="160" t="s">
        <v>32</v>
      </c>
      <c r="O58" s="136">
        <v>14</v>
      </c>
      <c r="Q58" s="7"/>
    </row>
    <row r="59" spans="1:20" customFormat="1" ht="15" customHeight="1" x14ac:dyDescent="0.3">
      <c r="A59" s="444"/>
      <c r="B59" s="136">
        <v>136</v>
      </c>
      <c r="C59" s="137">
        <v>11</v>
      </c>
      <c r="D59" s="136" t="s">
        <v>35</v>
      </c>
      <c r="E59" s="137">
        <v>3</v>
      </c>
      <c r="F59" s="200">
        <f>VLOOKUP(D59,'[1]טיפוסי דירה'!$B$1:$E$51,2,FALSE)</f>
        <v>4</v>
      </c>
      <c r="G59" s="138">
        <f>VLOOKUP(D59,'[1]טיפוסי דירה'!$B$1:$E$51,3,FALSE)</f>
        <v>102.61</v>
      </c>
      <c r="H59" s="139">
        <f>VLOOKUP(D59,'[1]טיפוסי דירה'!$B$1:$E$51,4,FALSE)</f>
        <v>14.65</v>
      </c>
      <c r="I59" s="140">
        <v>4.3949999999999996</v>
      </c>
      <c r="J59" s="141">
        <v>3.48</v>
      </c>
      <c r="K59" s="144">
        <v>1</v>
      </c>
      <c r="L59" s="142"/>
      <c r="M59" s="143"/>
      <c r="N59" s="160" t="s">
        <v>32</v>
      </c>
      <c r="O59" s="136">
        <v>10</v>
      </c>
      <c r="Q59" s="7"/>
    </row>
    <row r="60" spans="1:20" customFormat="1" ht="15" customHeight="1" x14ac:dyDescent="0.3">
      <c r="A60" s="444"/>
      <c r="B60" s="136">
        <v>136</v>
      </c>
      <c r="C60" s="137">
        <v>12</v>
      </c>
      <c r="D60" s="136" t="s">
        <v>33</v>
      </c>
      <c r="E60" s="137">
        <v>4</v>
      </c>
      <c r="F60" s="200">
        <f>VLOOKUP(D60,'[1]טיפוסי דירה'!$B$1:$E$51,2,FALSE)</f>
        <v>5</v>
      </c>
      <c r="G60" s="138">
        <f>VLOOKUP(D60,'[1]טיפוסי דירה'!$B$1:$E$51,3,FALSE)</f>
        <v>125.37</v>
      </c>
      <c r="H60" s="139">
        <f>VLOOKUP(D60,'[1]טיפוסי דירה'!$B$1:$E$51,4,FALSE)</f>
        <v>22.96</v>
      </c>
      <c r="I60" s="140">
        <v>6.8879999999999999</v>
      </c>
      <c r="J60" s="141">
        <v>3.68</v>
      </c>
      <c r="K60" s="136">
        <v>2</v>
      </c>
      <c r="L60" s="142"/>
      <c r="M60" s="143"/>
      <c r="N60" s="160" t="s">
        <v>32</v>
      </c>
      <c r="O60" s="136">
        <v>9</v>
      </c>
      <c r="Q60" s="7"/>
    </row>
    <row r="61" spans="1:20" customFormat="1" ht="15" customHeight="1" x14ac:dyDescent="0.3">
      <c r="A61" s="444"/>
      <c r="B61" s="136">
        <v>136</v>
      </c>
      <c r="C61" s="137">
        <v>13</v>
      </c>
      <c r="D61" s="136" t="s">
        <v>34</v>
      </c>
      <c r="E61" s="137">
        <v>4</v>
      </c>
      <c r="F61" s="200">
        <f>VLOOKUP(D61,'[1]טיפוסי דירה'!$B$1:$E$51,2,FALSE)</f>
        <v>3</v>
      </c>
      <c r="G61" s="138">
        <f>VLOOKUP(D61,'[1]טיפוסי דירה'!$B$1:$E$51,3,FALSE)</f>
        <v>80.06</v>
      </c>
      <c r="H61" s="139">
        <f>VLOOKUP(D61,'[1]טיפוסי דירה'!$B$1:$E$51,4,FALSE)</f>
        <v>13.15</v>
      </c>
      <c r="I61" s="140">
        <v>3.9449999999999998</v>
      </c>
      <c r="J61" s="205">
        <v>3.85</v>
      </c>
      <c r="K61" s="144">
        <v>1</v>
      </c>
      <c r="L61" s="142"/>
      <c r="M61" s="143"/>
      <c r="N61" s="160" t="s">
        <v>32</v>
      </c>
      <c r="O61" s="136">
        <v>13</v>
      </c>
      <c r="Q61" s="7"/>
    </row>
    <row r="62" spans="1:20" customFormat="1" ht="15" customHeight="1" x14ac:dyDescent="0.3">
      <c r="A62" s="444"/>
      <c r="B62" s="136">
        <v>136</v>
      </c>
      <c r="C62" s="137">
        <v>14</v>
      </c>
      <c r="D62" s="136" t="s">
        <v>35</v>
      </c>
      <c r="E62" s="137">
        <v>4</v>
      </c>
      <c r="F62" s="200">
        <f>VLOOKUP(D62,'[1]טיפוסי דירה'!$B$1:$E$51,2,FALSE)</f>
        <v>4</v>
      </c>
      <c r="G62" s="138">
        <f>VLOOKUP(D62,'[1]טיפוסי דירה'!$B$1:$E$51,3,FALSE)</f>
        <v>102.61</v>
      </c>
      <c r="H62" s="139">
        <f>VLOOKUP(D62,'[1]טיפוסי דירה'!$B$1:$E$51,4,FALSE)</f>
        <v>14.65</v>
      </c>
      <c r="I62" s="140">
        <v>4.3949999999999996</v>
      </c>
      <c r="J62" s="141">
        <v>3.57</v>
      </c>
      <c r="K62" s="136">
        <v>1</v>
      </c>
      <c r="L62" s="142"/>
      <c r="M62" s="143"/>
      <c r="N62" s="160" t="s">
        <v>32</v>
      </c>
      <c r="O62" s="136">
        <v>7</v>
      </c>
      <c r="Q62" s="7"/>
    </row>
    <row r="63" spans="1:20" ht="15" customHeight="1" x14ac:dyDescent="0.3">
      <c r="A63" s="444"/>
      <c r="B63" s="151">
        <v>136</v>
      </c>
      <c r="C63" s="161">
        <v>15</v>
      </c>
      <c r="D63" s="201" t="s">
        <v>36</v>
      </c>
      <c r="E63" s="202">
        <v>5</v>
      </c>
      <c r="F63" s="203">
        <f>VLOOKUP(D63,'[1]טיפוסי דירה'!$B$1:$E$51,2,FALSE)</f>
        <v>6</v>
      </c>
      <c r="G63" s="147">
        <v>153.69999999999999</v>
      </c>
      <c r="H63" s="148">
        <v>36.479999999999997</v>
      </c>
      <c r="I63" s="149">
        <v>10.295999999999999</v>
      </c>
      <c r="J63" s="165">
        <v>3.24</v>
      </c>
      <c r="K63" s="163">
        <v>2</v>
      </c>
      <c r="L63" s="152">
        <f>(G63+I63+(J63*0.4)+(K63*2))*$O$4-((G63-145)*0.15*$O$4)</f>
        <v>1139959.7819999999</v>
      </c>
      <c r="M63" s="153"/>
      <c r="N63" s="162" t="s">
        <v>30</v>
      </c>
      <c r="O63" s="201">
        <v>3</v>
      </c>
      <c r="P63" s="86"/>
      <c r="Q63" s="86"/>
      <c r="T63" s="110"/>
    </row>
    <row r="64" spans="1:20" ht="15" customHeight="1" x14ac:dyDescent="0.3">
      <c r="A64" s="444"/>
      <c r="B64" s="145">
        <v>136</v>
      </c>
      <c r="C64" s="146">
        <v>16</v>
      </c>
      <c r="D64" s="204" t="s">
        <v>37</v>
      </c>
      <c r="E64" s="208">
        <v>5</v>
      </c>
      <c r="F64" s="209">
        <f>VLOOKUP(D64,'[1]טיפוסי דירה'!$B$1:$E$51,2,FALSE)</f>
        <v>6</v>
      </c>
      <c r="G64" s="166">
        <v>154.93</v>
      </c>
      <c r="H64" s="167">
        <f>VLOOKUP(D64,'[1]טיפוסי דירה'!$B$1:$E$51,4,FALSE)</f>
        <v>29.82</v>
      </c>
      <c r="I64" s="168">
        <v>8.9459999999999997</v>
      </c>
      <c r="J64" s="156">
        <v>3.15</v>
      </c>
      <c r="K64" s="145">
        <v>2</v>
      </c>
      <c r="L64" s="152">
        <f>(G64+I64+(J64*0.4)+(K64*2))*$O$4-((G64-145)*0.15*$O$4)</f>
        <v>1137649.149</v>
      </c>
      <c r="M64" s="153"/>
      <c r="N64" s="154" t="s">
        <v>30</v>
      </c>
      <c r="O64" s="204">
        <v>16</v>
      </c>
      <c r="P64" s="86"/>
      <c r="Q64" s="108"/>
      <c r="T64" s="110"/>
    </row>
    <row r="65" spans="1:20" customFormat="1" ht="15" customHeight="1" x14ac:dyDescent="0.3">
      <c r="A65" s="444"/>
      <c r="B65" s="136">
        <v>136</v>
      </c>
      <c r="C65" s="137">
        <v>17</v>
      </c>
      <c r="D65" s="136" t="s">
        <v>38</v>
      </c>
      <c r="E65" s="137">
        <v>6</v>
      </c>
      <c r="F65" s="200">
        <f>VLOOKUP(D65,'[1]טיפוסי דירה'!$B$1:$E$51,2,FALSE)</f>
        <v>5</v>
      </c>
      <c r="G65" s="138">
        <f>VLOOKUP(D65,'[1]טיפוסי דירה'!$B$1:$E$51,3,FALSE)</f>
        <v>137.02000000000001</v>
      </c>
      <c r="H65" s="139">
        <f>VLOOKUP(D65,'[1]טיפוסי דירה'!$B$1:$E$51,4,FALSE)</f>
        <v>53.61</v>
      </c>
      <c r="I65" s="140">
        <v>13.722000000000001</v>
      </c>
      <c r="J65" s="141">
        <v>3.35</v>
      </c>
      <c r="K65" s="144">
        <v>2</v>
      </c>
      <c r="L65" s="142"/>
      <c r="M65" s="143"/>
      <c r="N65" s="160" t="s">
        <v>32</v>
      </c>
      <c r="O65" s="136">
        <v>4</v>
      </c>
      <c r="Q65" s="7"/>
    </row>
    <row r="66" spans="1:20" customFormat="1" ht="15.75" customHeight="1" thickBot="1" x14ac:dyDescent="0.35">
      <c r="A66" s="454"/>
      <c r="B66" s="210">
        <v>136</v>
      </c>
      <c r="C66" s="211">
        <v>18</v>
      </c>
      <c r="D66" s="210" t="s">
        <v>39</v>
      </c>
      <c r="E66" s="211">
        <v>6</v>
      </c>
      <c r="F66" s="212">
        <f>VLOOKUP(D66,'[1]טיפוסי דירה'!$B$1:$E$51,2,FALSE)</f>
        <v>5</v>
      </c>
      <c r="G66" s="213">
        <f>VLOOKUP(D66,'[1]טיפוסי דירה'!$B$1:$E$51,3,FALSE)</f>
        <v>134.94</v>
      </c>
      <c r="H66" s="214">
        <f>VLOOKUP(D66,'[1]טיפוסי דירה'!$B$1:$E$51,4,FALSE)</f>
        <v>36.340000000000003</v>
      </c>
      <c r="I66" s="215">
        <v>10.268000000000001</v>
      </c>
      <c r="J66" s="216">
        <v>3.57</v>
      </c>
      <c r="K66" s="210">
        <v>2</v>
      </c>
      <c r="L66" s="177"/>
      <c r="M66" s="217"/>
      <c r="N66" s="225" t="s">
        <v>32</v>
      </c>
      <c r="O66" s="210">
        <v>8</v>
      </c>
      <c r="Q66" s="7"/>
    </row>
    <row r="67" spans="1:20" customFormat="1" ht="15.75" customHeight="1" thickBot="1" x14ac:dyDescent="0.25">
      <c r="A67" s="281" t="s">
        <v>40</v>
      </c>
      <c r="B67" s="285"/>
      <c r="C67" s="286"/>
      <c r="D67" s="287"/>
      <c r="E67" s="286"/>
      <c r="F67" s="287"/>
      <c r="G67" s="288">
        <f>SUMIF(N49:N66,"כן",G49:G66)/COUNTIF(N49:N66,"כן")</f>
        <v>117.58142857142856</v>
      </c>
      <c r="H67" s="287"/>
      <c r="I67" s="289">
        <v>0</v>
      </c>
      <c r="J67" s="290"/>
      <c r="K67" s="285"/>
      <c r="L67" s="290"/>
      <c r="M67" s="285"/>
      <c r="N67" s="291">
        <f>COUNTIF(N49:N66,"כן")/COUNT(C49:C66)</f>
        <v>0.3888888888888889</v>
      </c>
      <c r="O67" s="287"/>
      <c r="Q67" s="1"/>
    </row>
    <row r="68" spans="1:20" customFormat="1" ht="15" customHeight="1" x14ac:dyDescent="0.3">
      <c r="A68" s="449" t="s">
        <v>44</v>
      </c>
      <c r="B68" s="190">
        <v>294</v>
      </c>
      <c r="C68" s="191">
        <v>1</v>
      </c>
      <c r="D68" s="190" t="s">
        <v>45</v>
      </c>
      <c r="E68" s="191" t="s">
        <v>29</v>
      </c>
      <c r="F68" s="192">
        <f>VLOOKUP(D68,'[1]טיפוסי דירה'!$B$1:$E$51,2,FALSE)</f>
        <v>5</v>
      </c>
      <c r="G68" s="193">
        <f>VLOOKUP(D68,'[1]טיפוסי דירה'!$B$1:$E$51,3,FALSE)</f>
        <v>126.81</v>
      </c>
      <c r="H68" s="194">
        <v>149.33000000000001</v>
      </c>
      <c r="I68" s="195">
        <v>21</v>
      </c>
      <c r="J68" s="229">
        <v>5.56</v>
      </c>
      <c r="K68" s="190">
        <v>2</v>
      </c>
      <c r="L68" s="198"/>
      <c r="M68" s="199"/>
      <c r="N68" s="224" t="s">
        <v>32</v>
      </c>
      <c r="O68" s="197">
        <v>1</v>
      </c>
      <c r="Q68" s="2"/>
    </row>
    <row r="69" spans="1:20" customFormat="1" ht="15" customHeight="1" x14ac:dyDescent="0.3">
      <c r="A69" s="441"/>
      <c r="B69" s="136">
        <v>294</v>
      </c>
      <c r="C69" s="137">
        <v>2</v>
      </c>
      <c r="D69" s="136" t="s">
        <v>46</v>
      </c>
      <c r="E69" s="137" t="s">
        <v>29</v>
      </c>
      <c r="F69" s="200">
        <f>VLOOKUP(D69,'[1]טיפוסי דירה'!$B$1:$E$51,2,FALSE)</f>
        <v>4</v>
      </c>
      <c r="G69" s="138">
        <f>VLOOKUP(D69,'[1]טיפוסי דירה'!$B$1:$E$51,3,FALSE)</f>
        <v>104.15</v>
      </c>
      <c r="H69" s="139">
        <v>162.46</v>
      </c>
      <c r="I69" s="140">
        <v>21</v>
      </c>
      <c r="J69" s="230">
        <v>7.79</v>
      </c>
      <c r="K69" s="136">
        <v>2</v>
      </c>
      <c r="L69" s="231"/>
      <c r="M69" s="232"/>
      <c r="N69" s="160" t="s">
        <v>32</v>
      </c>
      <c r="O69" s="144">
        <v>2</v>
      </c>
      <c r="Q69" s="2"/>
    </row>
    <row r="70" spans="1:20" customFormat="1" ht="15" customHeight="1" x14ac:dyDescent="0.3">
      <c r="A70" s="441"/>
      <c r="B70" s="136">
        <v>294</v>
      </c>
      <c r="C70" s="137">
        <v>3</v>
      </c>
      <c r="D70" s="136" t="s">
        <v>47</v>
      </c>
      <c r="E70" s="137" t="s">
        <v>29</v>
      </c>
      <c r="F70" s="200">
        <f>VLOOKUP(D70,'[1]טיפוסי דירה'!$B$1:$E$51,2,FALSE)</f>
        <v>4</v>
      </c>
      <c r="G70" s="138">
        <f>VLOOKUP(D70,'[1]טיפוסי דירה'!$B$1:$E$51,3,FALSE)</f>
        <v>104.71</v>
      </c>
      <c r="H70" s="139">
        <v>134.35</v>
      </c>
      <c r="I70" s="140">
        <v>21</v>
      </c>
      <c r="J70" s="230">
        <v>7.07</v>
      </c>
      <c r="K70" s="136">
        <v>2</v>
      </c>
      <c r="L70" s="231"/>
      <c r="M70" s="232"/>
      <c r="N70" s="160" t="s">
        <v>32</v>
      </c>
      <c r="O70" s="136">
        <v>3</v>
      </c>
      <c r="Q70" s="7"/>
    </row>
    <row r="71" spans="1:20" ht="18.75" x14ac:dyDescent="0.3">
      <c r="A71" s="441"/>
      <c r="B71" s="201">
        <v>294</v>
      </c>
      <c r="C71" s="146">
        <v>4</v>
      </c>
      <c r="D71" s="201" t="s">
        <v>48</v>
      </c>
      <c r="E71" s="202">
        <v>1</v>
      </c>
      <c r="F71" s="203">
        <f>VLOOKUP(D71,'[1]טיפוסי דירה'!$B$1:$E$51,2,FALSE)</f>
        <v>5</v>
      </c>
      <c r="G71" s="147">
        <v>125.66</v>
      </c>
      <c r="H71" s="148">
        <f>VLOOKUP(D71,'[1]טיפוסי דירה'!$B$1:$E$51,4,FALSE)</f>
        <v>22.25</v>
      </c>
      <c r="I71" s="149">
        <v>6.6749999999999998</v>
      </c>
      <c r="J71" s="233">
        <v>12.12</v>
      </c>
      <c r="K71" s="204">
        <v>2</v>
      </c>
      <c r="L71" s="152">
        <f>(G71+I71+(J71*0.4)+(K71*2))*$O$4-((G71-125)*0.15*$O$4)</f>
        <v>957396.02400000009</v>
      </c>
      <c r="M71" s="153"/>
      <c r="N71" s="154" t="s">
        <v>30</v>
      </c>
      <c r="O71" s="155">
        <v>4</v>
      </c>
      <c r="P71" s="86"/>
      <c r="Q71" s="86"/>
      <c r="T71" s="110"/>
    </row>
    <row r="72" spans="1:20" customFormat="1" ht="15" customHeight="1" x14ac:dyDescent="0.3">
      <c r="A72" s="441"/>
      <c r="B72" s="136">
        <v>294</v>
      </c>
      <c r="C72" s="137">
        <v>5</v>
      </c>
      <c r="D72" s="136" t="s">
        <v>49</v>
      </c>
      <c r="E72" s="137">
        <v>1</v>
      </c>
      <c r="F72" s="200">
        <f>VLOOKUP(D72,'[1]טיפוסי דירה'!$B$1:$E$51,2,FALSE)</f>
        <v>4</v>
      </c>
      <c r="G72" s="138">
        <f>VLOOKUP(D72,'[1]טיפוסי דירה'!$B$1:$E$51,3,FALSE)</f>
        <v>104.15</v>
      </c>
      <c r="H72" s="139">
        <f>VLOOKUP(D72,'[1]טיפוסי דירה'!$B$1:$E$51,4,FALSE)</f>
        <v>19.91</v>
      </c>
      <c r="I72" s="140">
        <v>5.9729999999999999</v>
      </c>
      <c r="J72" s="230">
        <v>7.06</v>
      </c>
      <c r="K72" s="136">
        <v>2</v>
      </c>
      <c r="L72" s="231"/>
      <c r="M72" s="232"/>
      <c r="N72" s="160" t="s">
        <v>32</v>
      </c>
      <c r="O72" s="144">
        <v>5</v>
      </c>
      <c r="Q72" s="2"/>
    </row>
    <row r="73" spans="1:20" ht="18.75" x14ac:dyDescent="0.3">
      <c r="A73" s="441"/>
      <c r="B73" s="201">
        <v>294</v>
      </c>
      <c r="C73" s="146">
        <v>6</v>
      </c>
      <c r="D73" s="201" t="s">
        <v>50</v>
      </c>
      <c r="E73" s="202">
        <v>1</v>
      </c>
      <c r="F73" s="203">
        <f>VLOOKUP(D73,'[1]טיפוסי דירה'!$B$1:$E$51,2,FALSE)</f>
        <v>4</v>
      </c>
      <c r="G73" s="147">
        <v>104.07</v>
      </c>
      <c r="H73" s="148">
        <f>VLOOKUP(D73,'[1]טיפוסי דירה'!$B$1:$E$51,4,FALSE)</f>
        <v>19.91</v>
      </c>
      <c r="I73" s="149">
        <v>5.9729999999999999</v>
      </c>
      <c r="J73" s="233">
        <v>11.58</v>
      </c>
      <c r="K73" s="204">
        <v>1</v>
      </c>
      <c r="L73" s="152">
        <f>(G73+I73+(J73*0.4)+(K73*2))*$O$4</f>
        <v>791756.54999999993</v>
      </c>
      <c r="M73" s="153"/>
      <c r="N73" s="154" t="s">
        <v>30</v>
      </c>
      <c r="O73" s="155">
        <v>6</v>
      </c>
      <c r="P73" s="86"/>
      <c r="Q73" s="86"/>
      <c r="T73" s="110"/>
    </row>
    <row r="74" spans="1:20" ht="15" customHeight="1" x14ac:dyDescent="0.3">
      <c r="A74" s="441"/>
      <c r="B74" s="151">
        <v>294</v>
      </c>
      <c r="C74" s="146">
        <v>7</v>
      </c>
      <c r="D74" s="151" t="s">
        <v>51</v>
      </c>
      <c r="E74" s="161">
        <v>1</v>
      </c>
      <c r="F74" s="234">
        <f>VLOOKUP(D74,'[1]טיפוסי דירה'!$B$1:$E$51,2,FALSE)</f>
        <v>3</v>
      </c>
      <c r="G74" s="157">
        <v>79.73</v>
      </c>
      <c r="H74" s="158">
        <v>14.05</v>
      </c>
      <c r="I74" s="159">
        <v>4.2149999999999999</v>
      </c>
      <c r="J74" s="233">
        <v>7.07</v>
      </c>
      <c r="K74" s="145">
        <v>1</v>
      </c>
      <c r="L74" s="152">
        <f>(G74+I74+(J74*0.4)+(K74*2))*$O$4</f>
        <v>602413.5780000001</v>
      </c>
      <c r="M74" s="153"/>
      <c r="N74" s="154" t="s">
        <v>30</v>
      </c>
      <c r="O74" s="155">
        <v>7</v>
      </c>
      <c r="P74" s="86"/>
      <c r="Q74" s="86"/>
      <c r="T74" s="110"/>
    </row>
    <row r="75" spans="1:20" ht="15" customHeight="1" x14ac:dyDescent="0.3">
      <c r="A75" s="441"/>
      <c r="B75" s="201">
        <v>294</v>
      </c>
      <c r="C75" s="146">
        <v>8</v>
      </c>
      <c r="D75" s="201" t="s">
        <v>48</v>
      </c>
      <c r="E75" s="202">
        <v>2</v>
      </c>
      <c r="F75" s="203">
        <f>VLOOKUP(D75,'[1]טיפוסי דירה'!$B$1:$E$51,2,FALSE)</f>
        <v>5</v>
      </c>
      <c r="G75" s="147">
        <v>125.66</v>
      </c>
      <c r="H75" s="148">
        <f>VLOOKUP(D75,'[1]טיפוסי דירה'!$B$1:$E$51,4,FALSE)</f>
        <v>22.25</v>
      </c>
      <c r="I75" s="149">
        <v>6.6749999999999998</v>
      </c>
      <c r="J75" s="233">
        <v>6.8</v>
      </c>
      <c r="K75" s="204">
        <v>2</v>
      </c>
      <c r="L75" s="152">
        <f>(G75+I75+(J75*0.4)+(K75*2))*$O$4-((G75-125)*0.15*$O$4)</f>
        <v>942955.41600000008</v>
      </c>
      <c r="M75" s="153"/>
      <c r="N75" s="154" t="s">
        <v>30</v>
      </c>
      <c r="O75" s="155">
        <v>8</v>
      </c>
      <c r="P75" s="86"/>
      <c r="Q75" s="86"/>
      <c r="T75" s="110"/>
    </row>
    <row r="76" spans="1:20" ht="15" customHeight="1" x14ac:dyDescent="0.3">
      <c r="A76" s="441"/>
      <c r="B76" s="201">
        <v>294</v>
      </c>
      <c r="C76" s="146">
        <v>9</v>
      </c>
      <c r="D76" s="201" t="s">
        <v>49</v>
      </c>
      <c r="E76" s="202">
        <v>2</v>
      </c>
      <c r="F76" s="203">
        <f>VLOOKUP(D76,'[1]טיפוסי דירה'!$B$1:$E$51,2,FALSE)</f>
        <v>4</v>
      </c>
      <c r="G76" s="147">
        <v>104</v>
      </c>
      <c r="H76" s="148">
        <f>VLOOKUP(D76,'[1]טיפוסי דירה'!$B$1:$E$51,4,FALSE)</f>
        <v>19.91</v>
      </c>
      <c r="I76" s="149">
        <v>5.9729999999999999</v>
      </c>
      <c r="J76" s="233">
        <v>6.95</v>
      </c>
      <c r="K76" s="204">
        <v>1</v>
      </c>
      <c r="L76" s="152">
        <f>(G76+I76+(J76*0.4)+(K76*2))*$O$4</f>
        <v>778713.85800000001</v>
      </c>
      <c r="M76" s="153"/>
      <c r="N76" s="154" t="s">
        <v>30</v>
      </c>
      <c r="O76" s="155">
        <v>9</v>
      </c>
      <c r="P76" s="86"/>
      <c r="Q76" s="86"/>
      <c r="T76" s="110"/>
    </row>
    <row r="77" spans="1:20" ht="15" customHeight="1" x14ac:dyDescent="0.3">
      <c r="A77" s="441"/>
      <c r="B77" s="201">
        <v>294</v>
      </c>
      <c r="C77" s="146">
        <v>10</v>
      </c>
      <c r="D77" s="201" t="s">
        <v>50</v>
      </c>
      <c r="E77" s="202">
        <v>2</v>
      </c>
      <c r="F77" s="203">
        <f>VLOOKUP(D77,'[1]טיפוסי דירה'!$B$1:$E$51,2,FALSE)</f>
        <v>4</v>
      </c>
      <c r="G77" s="147">
        <v>104.07</v>
      </c>
      <c r="H77" s="148">
        <f>VLOOKUP(D77,'[1]טיפוסי דירה'!$B$1:$E$51,4,FALSE)</f>
        <v>19.91</v>
      </c>
      <c r="I77" s="149">
        <v>5.9729999999999999</v>
      </c>
      <c r="J77" s="233">
        <v>8.77</v>
      </c>
      <c r="K77" s="204">
        <v>2</v>
      </c>
      <c r="L77" s="152">
        <f>(G77+I77+(J77*0.4)+(K77*2))*$O$4</f>
        <v>797701.08599999989</v>
      </c>
      <c r="M77" s="153"/>
      <c r="N77" s="154" t="s">
        <v>30</v>
      </c>
      <c r="O77" s="155">
        <v>10</v>
      </c>
      <c r="P77" s="86"/>
      <c r="Q77" s="86"/>
      <c r="T77" s="110"/>
    </row>
    <row r="78" spans="1:20" ht="15" customHeight="1" x14ac:dyDescent="0.3">
      <c r="A78" s="441"/>
      <c r="B78" s="201">
        <v>294</v>
      </c>
      <c r="C78" s="146">
        <v>11</v>
      </c>
      <c r="D78" s="201" t="s">
        <v>51</v>
      </c>
      <c r="E78" s="202">
        <v>2</v>
      </c>
      <c r="F78" s="203">
        <f>VLOOKUP(D78,'[1]טיפוסי דירה'!$B$1:$E$51,2,FALSE)</f>
        <v>3</v>
      </c>
      <c r="G78" s="147">
        <v>79.73</v>
      </c>
      <c r="H78" s="148">
        <v>14.05</v>
      </c>
      <c r="I78" s="149">
        <v>4.2149999999999999</v>
      </c>
      <c r="J78" s="233">
        <v>11.32</v>
      </c>
      <c r="K78" s="204">
        <v>1</v>
      </c>
      <c r="L78" s="152">
        <f>(G78+I78+(J78*0.4)+(K78*2))*$O$4</f>
        <v>613949.77800000005</v>
      </c>
      <c r="M78" s="153"/>
      <c r="N78" s="154" t="s">
        <v>30</v>
      </c>
      <c r="O78" s="155">
        <v>22</v>
      </c>
      <c r="P78" s="86"/>
      <c r="Q78" s="86"/>
      <c r="T78" s="110"/>
    </row>
    <row r="79" spans="1:20" ht="18.75" x14ac:dyDescent="0.3">
      <c r="A79" s="441"/>
      <c r="B79" s="201">
        <v>294</v>
      </c>
      <c r="C79" s="146">
        <v>12</v>
      </c>
      <c r="D79" s="201" t="s">
        <v>48</v>
      </c>
      <c r="E79" s="202">
        <v>3</v>
      </c>
      <c r="F79" s="203">
        <f>VLOOKUP(D79,'[1]טיפוסי דירה'!$B$1:$E$51,2,FALSE)</f>
        <v>5</v>
      </c>
      <c r="G79" s="147">
        <v>125.66</v>
      </c>
      <c r="H79" s="148">
        <f>VLOOKUP(D79,'[1]טיפוסי דירה'!$B$1:$E$51,4,FALSE)</f>
        <v>22.25</v>
      </c>
      <c r="I79" s="149">
        <v>6.6749999999999998</v>
      </c>
      <c r="J79" s="233">
        <v>5.85</v>
      </c>
      <c r="K79" s="204">
        <v>2</v>
      </c>
      <c r="L79" s="152">
        <f>(G79+I79+(J79*0.4)+(K79*2))*$O$4-((G79-125)*0.15*$O$4)</f>
        <v>940376.73600000003</v>
      </c>
      <c r="M79" s="153"/>
      <c r="N79" s="154" t="s">
        <v>30</v>
      </c>
      <c r="O79" s="155">
        <v>12</v>
      </c>
      <c r="P79" s="86"/>
      <c r="Q79" s="86"/>
      <c r="T79" s="110"/>
    </row>
    <row r="80" spans="1:20" ht="15" customHeight="1" x14ac:dyDescent="0.3">
      <c r="A80" s="441"/>
      <c r="B80" s="201">
        <v>294</v>
      </c>
      <c r="C80" s="146">
        <v>13</v>
      </c>
      <c r="D80" s="201" t="s">
        <v>49</v>
      </c>
      <c r="E80" s="202">
        <v>3</v>
      </c>
      <c r="F80" s="203">
        <f>VLOOKUP(D80,'[1]טיפוסי דירה'!$B$1:$E$51,2,FALSE)</f>
        <v>4</v>
      </c>
      <c r="G80" s="147">
        <v>104</v>
      </c>
      <c r="H80" s="148">
        <f>VLOOKUP(D80,'[1]טיפוסי דירה'!$B$1:$E$51,4,FALSE)</f>
        <v>19.91</v>
      </c>
      <c r="I80" s="149">
        <v>5.9729999999999999</v>
      </c>
      <c r="J80" s="233">
        <v>6.01</v>
      </c>
      <c r="K80" s="204">
        <v>2</v>
      </c>
      <c r="L80" s="152">
        <f>(G80+I80+(J80*0.4)+(K80*2))*$O$4</f>
        <v>789734.32199999993</v>
      </c>
      <c r="M80" s="153"/>
      <c r="N80" s="154" t="s">
        <v>30</v>
      </c>
      <c r="O80" s="155">
        <v>13</v>
      </c>
      <c r="P80" s="86"/>
      <c r="Q80" s="86"/>
      <c r="T80" s="110"/>
    </row>
    <row r="81" spans="1:20" ht="18.75" x14ac:dyDescent="0.3">
      <c r="A81" s="441"/>
      <c r="B81" s="201">
        <v>294</v>
      </c>
      <c r="C81" s="146">
        <v>14</v>
      </c>
      <c r="D81" s="201" t="s">
        <v>50</v>
      </c>
      <c r="E81" s="202">
        <v>3</v>
      </c>
      <c r="F81" s="203">
        <f>VLOOKUP(D81,'[1]טיפוסי דירה'!$B$1:$E$51,2,FALSE)</f>
        <v>4</v>
      </c>
      <c r="G81" s="147">
        <v>104.07</v>
      </c>
      <c r="H81" s="148">
        <f>VLOOKUP(D81,'[1]טיפוסי דירה'!$B$1:$E$51,4,FALSE)</f>
        <v>19.91</v>
      </c>
      <c r="I81" s="149">
        <v>5.9729999999999999</v>
      </c>
      <c r="J81" s="233">
        <v>10.44</v>
      </c>
      <c r="K81" s="204">
        <v>2</v>
      </c>
      <c r="L81" s="152">
        <f>(G81+I81+(J81*0.4)+(K81*2))*$O$4</f>
        <v>802234.13399999996</v>
      </c>
      <c r="M81" s="153"/>
      <c r="N81" s="154" t="s">
        <v>30</v>
      </c>
      <c r="O81" s="155">
        <v>14</v>
      </c>
      <c r="P81" s="86"/>
      <c r="Q81" s="86"/>
      <c r="T81" s="110"/>
    </row>
    <row r="82" spans="1:20" ht="15" customHeight="1" x14ac:dyDescent="0.3">
      <c r="A82" s="441"/>
      <c r="B82" s="151">
        <v>294</v>
      </c>
      <c r="C82" s="146">
        <v>15</v>
      </c>
      <c r="D82" s="151" t="s">
        <v>51</v>
      </c>
      <c r="E82" s="161">
        <v>3</v>
      </c>
      <c r="F82" s="234">
        <f>VLOOKUP(D82,'[1]טיפוסי דירה'!$B$1:$E$51,2,FALSE)</f>
        <v>3</v>
      </c>
      <c r="G82" s="157">
        <v>79.73</v>
      </c>
      <c r="H82" s="158">
        <v>14.05</v>
      </c>
      <c r="I82" s="159">
        <v>4.2149999999999999</v>
      </c>
      <c r="J82" s="233">
        <v>6.2</v>
      </c>
      <c r="K82" s="145">
        <v>1</v>
      </c>
      <c r="L82" s="152">
        <f>(G82+I82+(J82*0.4)+(K82*2))*$O$4</f>
        <v>600052.05000000005</v>
      </c>
      <c r="M82" s="153"/>
      <c r="N82" s="154" t="s">
        <v>30</v>
      </c>
      <c r="O82" s="155">
        <v>15</v>
      </c>
      <c r="P82" s="86"/>
      <c r="Q82" s="86"/>
      <c r="T82" s="110"/>
    </row>
    <row r="83" spans="1:20" ht="15" customHeight="1" x14ac:dyDescent="0.3">
      <c r="A83" s="441"/>
      <c r="B83" s="201">
        <v>294</v>
      </c>
      <c r="C83" s="161">
        <v>16</v>
      </c>
      <c r="D83" s="201" t="s">
        <v>48</v>
      </c>
      <c r="E83" s="202">
        <v>4</v>
      </c>
      <c r="F83" s="203">
        <f>VLOOKUP(D83,'[1]טיפוסי דירה'!$B$1:$E$51,2,FALSE)</f>
        <v>5</v>
      </c>
      <c r="G83" s="147">
        <v>125.66</v>
      </c>
      <c r="H83" s="148">
        <f>VLOOKUP(D83,'[1]טיפוסי דירה'!$B$1:$E$51,4,FALSE)</f>
        <v>22.25</v>
      </c>
      <c r="I83" s="149">
        <v>6.6749999999999998</v>
      </c>
      <c r="J83" s="233">
        <v>5.15</v>
      </c>
      <c r="K83" s="201">
        <v>2</v>
      </c>
      <c r="L83" s="152">
        <f>(G83+I83+(J83*0.4)+(K83*2))*$O$4-((G83-125)*0.15*$O$4)</f>
        <v>938476.65600000008</v>
      </c>
      <c r="M83" s="153"/>
      <c r="N83" s="162" t="s">
        <v>30</v>
      </c>
      <c r="O83" s="163">
        <v>16</v>
      </c>
      <c r="P83" s="86"/>
      <c r="Q83" s="87"/>
      <c r="T83" s="110"/>
    </row>
    <row r="84" spans="1:20" ht="18.75" x14ac:dyDescent="0.3">
      <c r="A84" s="441"/>
      <c r="B84" s="201">
        <v>294</v>
      </c>
      <c r="C84" s="161">
        <v>17</v>
      </c>
      <c r="D84" s="201" t="s">
        <v>49</v>
      </c>
      <c r="E84" s="202">
        <v>4</v>
      </c>
      <c r="F84" s="203">
        <f>VLOOKUP(D84,'[1]טיפוסי דירה'!$B$1:$E$51,2,FALSE)</f>
        <v>4</v>
      </c>
      <c r="G84" s="147">
        <v>104</v>
      </c>
      <c r="H84" s="148">
        <f>VLOOKUP(D84,'[1]טיפוסי דירה'!$B$1:$E$51,4,FALSE)</f>
        <v>19.91</v>
      </c>
      <c r="I84" s="149">
        <v>5.9729999999999999</v>
      </c>
      <c r="J84" s="233">
        <v>6.95</v>
      </c>
      <c r="K84" s="201">
        <v>2</v>
      </c>
      <c r="L84" s="152">
        <f>(G84+I84+(J84*0.4)+(K84*2))*$O$4</f>
        <v>792285.85800000001</v>
      </c>
      <c r="M84" s="153"/>
      <c r="N84" s="162" t="s">
        <v>30</v>
      </c>
      <c r="O84" s="163">
        <v>17</v>
      </c>
      <c r="P84" s="86"/>
      <c r="Q84" s="87"/>
      <c r="T84" s="110"/>
    </row>
    <row r="85" spans="1:20" ht="15" customHeight="1" x14ac:dyDescent="0.3">
      <c r="A85" s="441"/>
      <c r="B85" s="201">
        <v>294</v>
      </c>
      <c r="C85" s="161">
        <v>18</v>
      </c>
      <c r="D85" s="201" t="s">
        <v>50</v>
      </c>
      <c r="E85" s="202">
        <v>4</v>
      </c>
      <c r="F85" s="203">
        <f>VLOOKUP(D85,'[1]טיפוסי דירה'!$B$1:$E$51,2,FALSE)</f>
        <v>4</v>
      </c>
      <c r="G85" s="147">
        <v>104.07</v>
      </c>
      <c r="H85" s="148">
        <f>VLOOKUP(D85,'[1]טיפוסי דירה'!$B$1:$E$51,4,FALSE)</f>
        <v>19.91</v>
      </c>
      <c r="I85" s="149">
        <v>5.9729999999999999</v>
      </c>
      <c r="J85" s="233">
        <v>6.86</v>
      </c>
      <c r="K85" s="201">
        <v>2</v>
      </c>
      <c r="L85" s="152">
        <f>(G85+I85+(J85*0.4)+(K85*2))*$O$4</f>
        <v>792516.58199999994</v>
      </c>
      <c r="M85" s="153"/>
      <c r="N85" s="162" t="s">
        <v>30</v>
      </c>
      <c r="O85" s="163">
        <v>18</v>
      </c>
      <c r="P85" s="86"/>
      <c r="Q85" s="87"/>
      <c r="T85" s="110"/>
    </row>
    <row r="86" spans="1:20" customFormat="1" ht="15" customHeight="1" x14ac:dyDescent="0.3">
      <c r="A86" s="441"/>
      <c r="B86" s="136">
        <v>294</v>
      </c>
      <c r="C86" s="137">
        <v>19</v>
      </c>
      <c r="D86" s="136" t="s">
        <v>51</v>
      </c>
      <c r="E86" s="137">
        <v>4</v>
      </c>
      <c r="F86" s="200">
        <f>VLOOKUP(D86,'[1]טיפוסי דירה'!$B$1:$E$51,2,FALSE)</f>
        <v>3</v>
      </c>
      <c r="G86" s="138">
        <f>VLOOKUP(D86,'[1]טיפוסי דירה'!$B$1:$E$51,3,FALSE)</f>
        <v>79.7</v>
      </c>
      <c r="H86" s="139">
        <f>VLOOKUP(D86,'[1]טיפוסי דירה'!$B$1:$E$51,4,FALSE)</f>
        <v>14.06</v>
      </c>
      <c r="I86" s="140">
        <v>4.218</v>
      </c>
      <c r="J86" s="230">
        <v>4.66</v>
      </c>
      <c r="K86" s="136">
        <v>1</v>
      </c>
      <c r="L86" s="142"/>
      <c r="M86" s="143"/>
      <c r="N86" s="160" t="s">
        <v>32</v>
      </c>
      <c r="O86" s="144">
        <v>19</v>
      </c>
      <c r="Q86" s="2"/>
    </row>
    <row r="87" spans="1:20" ht="18.75" x14ac:dyDescent="0.3">
      <c r="A87" s="441"/>
      <c r="B87" s="201">
        <v>294</v>
      </c>
      <c r="C87" s="161">
        <v>20</v>
      </c>
      <c r="D87" s="201" t="s">
        <v>48</v>
      </c>
      <c r="E87" s="202">
        <v>5</v>
      </c>
      <c r="F87" s="203">
        <f>VLOOKUP(D87,'[1]טיפוסי דירה'!$B$1:$E$51,2,FALSE)</f>
        <v>5</v>
      </c>
      <c r="G87" s="147">
        <v>125.66</v>
      </c>
      <c r="H87" s="148">
        <f>VLOOKUP(D87,'[1]טיפוסי דירה'!$B$1:$E$51,4,FALSE)</f>
        <v>22.25</v>
      </c>
      <c r="I87" s="149">
        <v>6.6749999999999998</v>
      </c>
      <c r="J87" s="233">
        <v>5.13</v>
      </c>
      <c r="K87" s="201">
        <v>2</v>
      </c>
      <c r="L87" s="152">
        <f>(G87+I87+(J87*0.4)+(K87*2))*$O$4-((G87-125)*0.15*$O$4)</f>
        <v>938422.36800000002</v>
      </c>
      <c r="M87" s="153"/>
      <c r="N87" s="162" t="s">
        <v>30</v>
      </c>
      <c r="O87" s="163">
        <v>20</v>
      </c>
      <c r="P87" s="86"/>
      <c r="Q87" s="87"/>
      <c r="T87" s="110"/>
    </row>
    <row r="88" spans="1:20" customFormat="1" ht="15" customHeight="1" x14ac:dyDescent="0.3">
      <c r="A88" s="441"/>
      <c r="B88" s="144">
        <v>294</v>
      </c>
      <c r="C88" s="160">
        <v>21</v>
      </c>
      <c r="D88" s="144" t="s">
        <v>49</v>
      </c>
      <c r="E88" s="160">
        <v>5</v>
      </c>
      <c r="F88" s="144">
        <f>VLOOKUP(D88,'[1]טיפוסי דירה'!$B$1:$E$51,2,FALSE)</f>
        <v>4</v>
      </c>
      <c r="G88" s="160">
        <f>VLOOKUP(D88,'[1]טיפוסי דירה'!$B$1:$E$51,3,FALSE)</f>
        <v>104.15</v>
      </c>
      <c r="H88" s="144">
        <f>VLOOKUP(D88,'[1]טיפוסי דירה'!$B$1:$E$51,4,FALSE)</f>
        <v>19.91</v>
      </c>
      <c r="I88" s="235">
        <v>5.9729999999999999</v>
      </c>
      <c r="J88" s="205">
        <v>7.53</v>
      </c>
      <c r="K88" s="144">
        <v>2</v>
      </c>
      <c r="L88" s="160"/>
      <c r="M88" s="144"/>
      <c r="N88" s="160" t="s">
        <v>32</v>
      </c>
      <c r="O88" s="144">
        <v>21</v>
      </c>
    </row>
    <row r="89" spans="1:20" customFormat="1" ht="15" customHeight="1" x14ac:dyDescent="0.3">
      <c r="A89" s="441"/>
      <c r="B89" s="136">
        <v>294</v>
      </c>
      <c r="C89" s="137">
        <v>22</v>
      </c>
      <c r="D89" s="136" t="s">
        <v>50</v>
      </c>
      <c r="E89" s="137">
        <v>5</v>
      </c>
      <c r="F89" s="200">
        <f>VLOOKUP(D89,'[1]טיפוסי דירה'!$B$1:$E$51,2,FALSE)</f>
        <v>4</v>
      </c>
      <c r="G89" s="138">
        <f>VLOOKUP(D89,'[1]טיפוסי דירה'!$B$1:$E$51,3,FALSE)</f>
        <v>104.21</v>
      </c>
      <c r="H89" s="139">
        <f>VLOOKUP(D89,'[1]טיפוסי דירה'!$B$1:$E$51,4,FALSE)</f>
        <v>19.91</v>
      </c>
      <c r="I89" s="140">
        <v>5.9729999999999999</v>
      </c>
      <c r="J89" s="230">
        <v>6.02</v>
      </c>
      <c r="K89" s="136">
        <v>1</v>
      </c>
      <c r="L89" s="142"/>
      <c r="M89" s="143"/>
      <c r="N89" s="160" t="s">
        <v>32</v>
      </c>
      <c r="O89" s="144">
        <v>11</v>
      </c>
      <c r="Q89" s="2"/>
    </row>
    <row r="90" spans="1:20" customFormat="1" ht="15" customHeight="1" x14ac:dyDescent="0.3">
      <c r="A90" s="441"/>
      <c r="B90" s="136">
        <v>294</v>
      </c>
      <c r="C90" s="137">
        <v>23</v>
      </c>
      <c r="D90" s="136" t="s">
        <v>51</v>
      </c>
      <c r="E90" s="137">
        <v>5</v>
      </c>
      <c r="F90" s="200">
        <f>VLOOKUP(D90,'[1]טיפוסי דירה'!$B$1:$E$51,2,FALSE)</f>
        <v>3</v>
      </c>
      <c r="G90" s="138">
        <f>VLOOKUP(D90,'[1]טיפוסי דירה'!$B$1:$E$51,3,FALSE)</f>
        <v>79.7</v>
      </c>
      <c r="H90" s="139">
        <f>VLOOKUP(D90,'[1]טיפוסי דירה'!$B$1:$E$51,4,FALSE)</f>
        <v>14.06</v>
      </c>
      <c r="I90" s="140">
        <v>4.218</v>
      </c>
      <c r="J90" s="230">
        <v>7</v>
      </c>
      <c r="K90" s="136">
        <v>1</v>
      </c>
      <c r="L90" s="142"/>
      <c r="M90" s="143"/>
      <c r="N90" s="160" t="s">
        <v>32</v>
      </c>
      <c r="O90" s="144">
        <v>23</v>
      </c>
      <c r="Q90" s="2"/>
    </row>
    <row r="91" spans="1:20" ht="15" customHeight="1" x14ac:dyDescent="0.3">
      <c r="A91" s="441"/>
      <c r="B91" s="201">
        <v>294</v>
      </c>
      <c r="C91" s="161">
        <v>24</v>
      </c>
      <c r="D91" s="201" t="s">
        <v>48</v>
      </c>
      <c r="E91" s="202">
        <v>6</v>
      </c>
      <c r="F91" s="203">
        <f>VLOOKUP(D91,'[1]טיפוסי דירה'!$B$1:$E$51,2,FALSE)</f>
        <v>5</v>
      </c>
      <c r="G91" s="147">
        <v>125.66</v>
      </c>
      <c r="H91" s="148">
        <f>VLOOKUP(D91,'[1]טיפוסי דירה'!$B$1:$E$51,4,FALSE)</f>
        <v>22.25</v>
      </c>
      <c r="I91" s="149">
        <v>6.6749999999999998</v>
      </c>
      <c r="J91" s="233">
        <v>11.67</v>
      </c>
      <c r="K91" s="201">
        <v>2</v>
      </c>
      <c r="L91" s="152">
        <f>(G91+I91+(J91*0.4)+(K91*2))*$O$4-((G91-125)*0.15*$O$4)</f>
        <v>956174.54400000011</v>
      </c>
      <c r="M91" s="153"/>
      <c r="N91" s="162" t="s">
        <v>30</v>
      </c>
      <c r="O91" s="163">
        <v>24</v>
      </c>
      <c r="P91" s="86"/>
      <c r="Q91" s="87"/>
      <c r="T91" s="110"/>
    </row>
    <row r="92" spans="1:20" customFormat="1" ht="15" customHeight="1" x14ac:dyDescent="0.3">
      <c r="A92" s="441"/>
      <c r="B92" s="136">
        <v>294</v>
      </c>
      <c r="C92" s="137">
        <v>25</v>
      </c>
      <c r="D92" s="136" t="s">
        <v>49</v>
      </c>
      <c r="E92" s="137">
        <v>6</v>
      </c>
      <c r="F92" s="200">
        <f>VLOOKUP(D92,'[1]טיפוסי דירה'!$B$1:$E$51,2,FALSE)</f>
        <v>4</v>
      </c>
      <c r="G92" s="138">
        <f>VLOOKUP(D92,'[1]טיפוסי דירה'!$B$1:$E$51,3,FALSE)</f>
        <v>104.15</v>
      </c>
      <c r="H92" s="139">
        <f>VLOOKUP(D92,'[1]טיפוסי דירה'!$B$1:$E$51,4,FALSE)</f>
        <v>19.91</v>
      </c>
      <c r="I92" s="140">
        <v>5.9729999999999999</v>
      </c>
      <c r="J92" s="230">
        <v>7.35</v>
      </c>
      <c r="K92" s="136">
        <v>2</v>
      </c>
      <c r="L92" s="142"/>
      <c r="M92" s="143"/>
      <c r="N92" s="160" t="s">
        <v>32</v>
      </c>
      <c r="O92" s="144">
        <v>25</v>
      </c>
      <c r="Q92" s="2"/>
    </row>
    <row r="93" spans="1:20" customFormat="1" ht="15" customHeight="1" x14ac:dyDescent="0.3">
      <c r="A93" s="441"/>
      <c r="B93" s="136">
        <v>294</v>
      </c>
      <c r="C93" s="137">
        <v>26</v>
      </c>
      <c r="D93" s="136" t="s">
        <v>50</v>
      </c>
      <c r="E93" s="137">
        <v>6</v>
      </c>
      <c r="F93" s="200">
        <f>VLOOKUP(D93,'[1]טיפוסי דירה'!$B$1:$E$51,2,FALSE)</f>
        <v>4</v>
      </c>
      <c r="G93" s="138">
        <f>VLOOKUP(D93,'[1]טיפוסי דירה'!$B$1:$E$51,3,FALSE)</f>
        <v>104.21</v>
      </c>
      <c r="H93" s="139">
        <f>VLOOKUP(D93,'[1]טיפוסי דירה'!$B$1:$E$51,4,FALSE)</f>
        <v>19.91</v>
      </c>
      <c r="I93" s="140">
        <v>5.9729999999999999</v>
      </c>
      <c r="J93" s="230">
        <v>7.2</v>
      </c>
      <c r="K93" s="136">
        <v>2</v>
      </c>
      <c r="L93" s="142"/>
      <c r="M93" s="143"/>
      <c r="N93" s="160" t="s">
        <v>32</v>
      </c>
      <c r="O93" s="144">
        <v>26</v>
      </c>
      <c r="Q93" s="2"/>
    </row>
    <row r="94" spans="1:20" customFormat="1" ht="15" customHeight="1" x14ac:dyDescent="0.3">
      <c r="A94" s="441"/>
      <c r="B94" s="136">
        <v>294</v>
      </c>
      <c r="C94" s="137">
        <v>27</v>
      </c>
      <c r="D94" s="136" t="s">
        <v>51</v>
      </c>
      <c r="E94" s="137">
        <v>6</v>
      </c>
      <c r="F94" s="200">
        <f>VLOOKUP(D94,'[1]טיפוסי דירה'!$B$1:$E$51,2,FALSE)</f>
        <v>3</v>
      </c>
      <c r="G94" s="138">
        <f>VLOOKUP(D94,'[1]טיפוסי דירה'!$B$1:$E$51,3,FALSE)</f>
        <v>79.7</v>
      </c>
      <c r="H94" s="139">
        <f>VLOOKUP(D94,'[1]טיפוסי דירה'!$B$1:$E$51,4,FALSE)</f>
        <v>14.06</v>
      </c>
      <c r="I94" s="140">
        <v>4.218</v>
      </c>
      <c r="J94" s="230">
        <v>7.2</v>
      </c>
      <c r="K94" s="136">
        <v>1</v>
      </c>
      <c r="L94" s="142"/>
      <c r="M94" s="143"/>
      <c r="N94" s="160" t="s">
        <v>32</v>
      </c>
      <c r="O94" s="144">
        <v>27</v>
      </c>
      <c r="Q94" s="2"/>
    </row>
    <row r="95" spans="1:20" customFormat="1" ht="15" customHeight="1" x14ac:dyDescent="0.3">
      <c r="A95" s="441"/>
      <c r="B95" s="136">
        <v>294</v>
      </c>
      <c r="C95" s="137">
        <v>28</v>
      </c>
      <c r="D95" s="136" t="s">
        <v>52</v>
      </c>
      <c r="E95" s="137">
        <v>7</v>
      </c>
      <c r="F95" s="200">
        <f>VLOOKUP(D95,'[1]טיפוסי דירה'!$B$1:$E$51,2,FALSE)</f>
        <v>6</v>
      </c>
      <c r="G95" s="138">
        <f>VLOOKUP(D95,'[1]טיפוסי דירה'!$B$1:$E$51,3,FALSE)</f>
        <v>168.49</v>
      </c>
      <c r="H95" s="139">
        <f>VLOOKUP(D95,'[1]טיפוסי דירה'!$B$1:$E$51,4,FALSE)</f>
        <v>78.25</v>
      </c>
      <c r="I95" s="140">
        <v>16.824999999999999</v>
      </c>
      <c r="J95" s="230">
        <v>7.39</v>
      </c>
      <c r="K95" s="136">
        <v>2</v>
      </c>
      <c r="L95" s="142"/>
      <c r="M95" s="143"/>
      <c r="N95" s="160" t="s">
        <v>32</v>
      </c>
      <c r="O95" s="144">
        <v>28</v>
      </c>
      <c r="Q95" s="2"/>
    </row>
    <row r="96" spans="1:20" customFormat="1" ht="15" customHeight="1" x14ac:dyDescent="0.3">
      <c r="A96" s="441"/>
      <c r="B96" s="136">
        <v>294</v>
      </c>
      <c r="C96" s="137">
        <v>29</v>
      </c>
      <c r="D96" s="136" t="s">
        <v>52</v>
      </c>
      <c r="E96" s="137">
        <v>7</v>
      </c>
      <c r="F96" s="200">
        <f>VLOOKUP(D96,'[1]טיפוסי דירה'!$B$1:$E$51,2,FALSE)</f>
        <v>6</v>
      </c>
      <c r="G96" s="138">
        <f>VLOOKUP(D96,'[1]טיפוסי דירה'!$B$1:$E$51,3,FALSE)</f>
        <v>168.49</v>
      </c>
      <c r="H96" s="139">
        <f>VLOOKUP(D96,'[1]טיפוסי דירה'!$B$1:$E$51,4,FALSE)</f>
        <v>78.25</v>
      </c>
      <c r="I96" s="140">
        <v>16.824999999999999</v>
      </c>
      <c r="J96" s="230">
        <v>9.19</v>
      </c>
      <c r="K96" s="136">
        <v>2</v>
      </c>
      <c r="L96" s="142"/>
      <c r="M96" s="143"/>
      <c r="N96" s="160" t="s">
        <v>32</v>
      </c>
      <c r="O96" s="144">
        <v>29</v>
      </c>
      <c r="Q96" s="2"/>
    </row>
    <row r="97" spans="1:20" ht="18.75" x14ac:dyDescent="0.3">
      <c r="A97" s="441"/>
      <c r="B97" s="201">
        <v>294</v>
      </c>
      <c r="C97" s="146">
        <v>30</v>
      </c>
      <c r="D97" s="201" t="s">
        <v>53</v>
      </c>
      <c r="E97" s="202">
        <v>8</v>
      </c>
      <c r="F97" s="203">
        <f>VLOOKUP(D97,'[1]טיפוסי דירה'!$B$1:$E$51,2,FALSE)</f>
        <v>5</v>
      </c>
      <c r="G97" s="147">
        <v>147.15</v>
      </c>
      <c r="H97" s="148">
        <v>43.27</v>
      </c>
      <c r="I97" s="149">
        <v>11.654</v>
      </c>
      <c r="J97" s="233">
        <v>14.33</v>
      </c>
      <c r="K97" s="204">
        <v>2</v>
      </c>
      <c r="L97" s="152">
        <f>(G97+I97+(J97*0.4)+(K97*2))*$O$4-((G97-125)*0.15*$O$4)</f>
        <v>1121138.811</v>
      </c>
      <c r="M97" s="153"/>
      <c r="N97" s="146" t="s">
        <v>30</v>
      </c>
      <c r="O97" s="155">
        <v>30</v>
      </c>
      <c r="P97" s="86"/>
      <c r="Q97" s="86"/>
      <c r="T97" s="110"/>
    </row>
    <row r="98" spans="1:20" customFormat="1" ht="15.75" customHeight="1" thickBot="1" x14ac:dyDescent="0.35">
      <c r="A98" s="450"/>
      <c r="B98" s="210">
        <v>294</v>
      </c>
      <c r="C98" s="211">
        <v>31</v>
      </c>
      <c r="D98" s="210" t="s">
        <v>53</v>
      </c>
      <c r="E98" s="211">
        <v>8</v>
      </c>
      <c r="F98" s="212">
        <f>VLOOKUP(D98,'[1]טיפוסי דירה'!$B$1:$E$51,2,FALSE)</f>
        <v>5</v>
      </c>
      <c r="G98" s="213">
        <f>VLOOKUP(D98,'[1]טיפוסי דירה'!$B$1:$E$51,3,FALSE)</f>
        <v>147.15</v>
      </c>
      <c r="H98" s="214">
        <f>VLOOKUP(D98,'[1]טיפוסי דירה'!$B$1:$E$51,4,FALSE)</f>
        <v>43.27</v>
      </c>
      <c r="I98" s="215">
        <v>11.654</v>
      </c>
      <c r="J98" s="236">
        <v>12.33</v>
      </c>
      <c r="K98" s="210">
        <v>2</v>
      </c>
      <c r="L98" s="177"/>
      <c r="M98" s="237"/>
      <c r="N98" s="225" t="s">
        <v>32</v>
      </c>
      <c r="O98" s="238">
        <v>31</v>
      </c>
      <c r="Q98" s="2"/>
    </row>
    <row r="99" spans="1:20" customFormat="1" ht="15.75" customHeight="1" thickBot="1" x14ac:dyDescent="0.25">
      <c r="A99" s="218" t="s">
        <v>40</v>
      </c>
      <c r="B99" s="226"/>
      <c r="C99" s="239"/>
      <c r="D99" s="226"/>
      <c r="E99" s="239"/>
      <c r="F99" s="226"/>
      <c r="G99" s="292">
        <f>SUMIF(N68:N98,"כן",G68:G98)/COUNTIF(N68:N98,"כן")</f>
        <v>109.91647058823531</v>
      </c>
      <c r="H99" s="293"/>
      <c r="I99" s="289">
        <v>0</v>
      </c>
      <c r="J99" s="290"/>
      <c r="K99" s="285"/>
      <c r="L99" s="290"/>
      <c r="M99" s="285"/>
      <c r="N99" s="291">
        <f>COUNTIF(N68:N98,"כן")/COUNT(C68:C98)</f>
        <v>0.54838709677419351</v>
      </c>
      <c r="O99" s="287"/>
      <c r="Q99" s="1"/>
    </row>
    <row r="100" spans="1:20" customFormat="1" ht="15" customHeight="1" x14ac:dyDescent="0.3">
      <c r="A100" s="453" t="s">
        <v>44</v>
      </c>
      <c r="B100" s="190">
        <v>295</v>
      </c>
      <c r="C100" s="191">
        <v>1</v>
      </c>
      <c r="D100" s="190" t="s">
        <v>45</v>
      </c>
      <c r="E100" s="191" t="s">
        <v>29</v>
      </c>
      <c r="F100" s="192">
        <f>VLOOKUP(D100,'[1]טיפוסי דירה'!$B$1:$E$51,2,FALSE)</f>
        <v>5</v>
      </c>
      <c r="G100" s="193">
        <f>VLOOKUP(D100,'[1]טיפוסי דירה'!$B$1:$E$51,3,FALSE)</f>
        <v>126.81</v>
      </c>
      <c r="H100" s="194">
        <v>139.53</v>
      </c>
      <c r="I100" s="195">
        <v>21</v>
      </c>
      <c r="J100" s="229">
        <v>5.01</v>
      </c>
      <c r="K100" s="190">
        <v>2</v>
      </c>
      <c r="L100" s="198"/>
      <c r="M100" s="240"/>
      <c r="N100" s="224" t="s">
        <v>32</v>
      </c>
      <c r="O100" s="190">
        <v>16</v>
      </c>
      <c r="Q100" s="7"/>
    </row>
    <row r="101" spans="1:20" customFormat="1" ht="15" customHeight="1" x14ac:dyDescent="0.3">
      <c r="A101" s="444"/>
      <c r="B101" s="136">
        <v>295</v>
      </c>
      <c r="C101" s="137">
        <v>2</v>
      </c>
      <c r="D101" s="136" t="s">
        <v>46</v>
      </c>
      <c r="E101" s="137" t="s">
        <v>29</v>
      </c>
      <c r="F101" s="200">
        <f>VLOOKUP(D101,'[1]טיפוסי דירה'!$B$1:$E$51,2,FALSE)</f>
        <v>4</v>
      </c>
      <c r="G101" s="138">
        <f>VLOOKUP(D101,'[1]טיפוסי דירה'!$B$1:$E$51,3,FALSE)</f>
        <v>104.15</v>
      </c>
      <c r="H101" s="139">
        <v>185.8</v>
      </c>
      <c r="I101" s="140">
        <v>21</v>
      </c>
      <c r="J101" s="230">
        <v>5.21</v>
      </c>
      <c r="K101" s="136">
        <v>2</v>
      </c>
      <c r="L101" s="142"/>
      <c r="M101" s="143"/>
      <c r="N101" s="160" t="s">
        <v>32</v>
      </c>
      <c r="O101" s="136">
        <v>10</v>
      </c>
      <c r="Q101" s="7"/>
    </row>
    <row r="102" spans="1:20" customFormat="1" ht="15" customHeight="1" x14ac:dyDescent="0.3">
      <c r="A102" s="444"/>
      <c r="B102" s="136">
        <v>295</v>
      </c>
      <c r="C102" s="137">
        <v>3</v>
      </c>
      <c r="D102" s="136" t="s">
        <v>47</v>
      </c>
      <c r="E102" s="137" t="s">
        <v>29</v>
      </c>
      <c r="F102" s="200">
        <f>VLOOKUP(D102,'[1]טיפוסי דירה'!$B$1:$E$51,2,FALSE)</f>
        <v>4</v>
      </c>
      <c r="G102" s="138">
        <f>VLOOKUP(D102,'[1]טיפוסי דירה'!$B$1:$E$51,3,FALSE)</f>
        <v>104.71</v>
      </c>
      <c r="H102" s="139">
        <v>164.19</v>
      </c>
      <c r="I102" s="140">
        <v>21</v>
      </c>
      <c r="J102" s="230">
        <v>6.56</v>
      </c>
      <c r="K102" s="136">
        <v>2</v>
      </c>
      <c r="L102" s="142"/>
      <c r="M102" s="143"/>
      <c r="N102" s="160" t="s">
        <v>32</v>
      </c>
      <c r="O102" s="136">
        <v>22</v>
      </c>
      <c r="Q102" s="7"/>
    </row>
    <row r="103" spans="1:20" ht="18.75" x14ac:dyDescent="0.3">
      <c r="A103" s="444"/>
      <c r="B103" s="201">
        <v>295</v>
      </c>
      <c r="C103" s="146">
        <v>4</v>
      </c>
      <c r="D103" s="201" t="s">
        <v>48</v>
      </c>
      <c r="E103" s="202">
        <v>1</v>
      </c>
      <c r="F103" s="203">
        <f>VLOOKUP(D103,'[1]טיפוסי דירה'!$B$1:$E$51,2,FALSE)</f>
        <v>5</v>
      </c>
      <c r="G103" s="147">
        <v>125.66</v>
      </c>
      <c r="H103" s="148">
        <f>VLOOKUP(D103,'[1]טיפוסי דירה'!$B$1:$E$51,4,FALSE)</f>
        <v>22.25</v>
      </c>
      <c r="I103" s="149">
        <v>6.6749999999999998</v>
      </c>
      <c r="J103" s="233">
        <v>6.09</v>
      </c>
      <c r="K103" s="145">
        <v>2</v>
      </c>
      <c r="L103" s="152">
        <f>(G103+I103+(J103*0.4)+(K103*2))*$O$4-((G103-125)*0.15*$O$4)</f>
        <v>941028.19200000004</v>
      </c>
      <c r="M103" s="153"/>
      <c r="N103" s="154" t="s">
        <v>30</v>
      </c>
      <c r="O103" s="204">
        <v>19</v>
      </c>
      <c r="P103" s="86"/>
      <c r="Q103" s="87"/>
      <c r="T103" s="110"/>
    </row>
    <row r="104" spans="1:20" ht="15" customHeight="1" x14ac:dyDescent="0.3">
      <c r="A104" s="444"/>
      <c r="B104" s="201">
        <v>295</v>
      </c>
      <c r="C104" s="161">
        <v>5</v>
      </c>
      <c r="D104" s="201" t="s">
        <v>49</v>
      </c>
      <c r="E104" s="202">
        <v>1</v>
      </c>
      <c r="F104" s="203">
        <f>VLOOKUP(D104,'[1]טיפוסי דירה'!$B$1:$E$51,2,FALSE)</f>
        <v>4</v>
      </c>
      <c r="G104" s="147">
        <v>104</v>
      </c>
      <c r="H104" s="148">
        <f>VLOOKUP(D104,'[1]טיפוסי דירה'!$B$1:$E$51,4,FALSE)</f>
        <v>19.91</v>
      </c>
      <c r="I104" s="149">
        <v>5.9729999999999999</v>
      </c>
      <c r="J104" s="233">
        <v>10.039999999999999</v>
      </c>
      <c r="K104" s="151">
        <v>1</v>
      </c>
      <c r="L104" s="152">
        <f>(G104+I104+(J104*0.4)+(K104*2))*$O$4</f>
        <v>787101.35400000005</v>
      </c>
      <c r="M104" s="153"/>
      <c r="N104" s="162" t="s">
        <v>30</v>
      </c>
      <c r="O104" s="201">
        <v>20</v>
      </c>
      <c r="P104" s="86"/>
      <c r="Q104" s="87"/>
      <c r="T104" s="110"/>
    </row>
    <row r="105" spans="1:20" ht="15" customHeight="1" x14ac:dyDescent="0.3">
      <c r="A105" s="444"/>
      <c r="B105" s="201">
        <v>295</v>
      </c>
      <c r="C105" s="146">
        <v>6</v>
      </c>
      <c r="D105" s="201" t="s">
        <v>50</v>
      </c>
      <c r="E105" s="202">
        <v>1</v>
      </c>
      <c r="F105" s="203">
        <f>VLOOKUP(D105,'[1]טיפוסי דירה'!$B$1:$E$51,2,FALSE)</f>
        <v>4</v>
      </c>
      <c r="G105" s="147">
        <v>104.07</v>
      </c>
      <c r="H105" s="148">
        <f>VLOOKUP(D105,'[1]טיפוסי דירה'!$B$1:$E$51,4,FALSE)</f>
        <v>19.91</v>
      </c>
      <c r="I105" s="149">
        <v>5.9729999999999999</v>
      </c>
      <c r="J105" s="233">
        <v>5.23</v>
      </c>
      <c r="K105" s="145">
        <v>1</v>
      </c>
      <c r="L105" s="152">
        <f>(G105+I105+(J105*0.4)+(K105*2))*$O$4</f>
        <v>774520.11</v>
      </c>
      <c r="M105" s="153"/>
      <c r="N105" s="154" t="s">
        <v>30</v>
      </c>
      <c r="O105" s="204">
        <v>7</v>
      </c>
      <c r="P105" s="86"/>
      <c r="Q105" s="87"/>
      <c r="T105" s="110"/>
    </row>
    <row r="106" spans="1:20" ht="15" customHeight="1" x14ac:dyDescent="0.3">
      <c r="A106" s="444"/>
      <c r="B106" s="151">
        <v>295</v>
      </c>
      <c r="C106" s="146">
        <v>7</v>
      </c>
      <c r="D106" s="151" t="s">
        <v>51</v>
      </c>
      <c r="E106" s="161">
        <v>1</v>
      </c>
      <c r="F106" s="234">
        <f>VLOOKUP(D106,'[1]טיפוסי דירה'!$B$1:$E$51,2,FALSE)</f>
        <v>3</v>
      </c>
      <c r="G106" s="157">
        <v>79.73</v>
      </c>
      <c r="H106" s="158">
        <v>14.05</v>
      </c>
      <c r="I106" s="159">
        <v>4.2149999999999999</v>
      </c>
      <c r="J106" s="233">
        <v>5.25</v>
      </c>
      <c r="K106" s="145">
        <v>1</v>
      </c>
      <c r="L106" s="152">
        <f>(G106+I106+(J106*0.4)+(K106*2))*$O$4</f>
        <v>597473.37</v>
      </c>
      <c r="M106" s="153"/>
      <c r="N106" s="154" t="s">
        <v>30</v>
      </c>
      <c r="O106" s="145">
        <v>15</v>
      </c>
      <c r="P106" s="86"/>
      <c r="Q106" s="86"/>
      <c r="T106" s="110"/>
    </row>
    <row r="107" spans="1:20" ht="18.75" x14ac:dyDescent="0.3">
      <c r="A107" s="444"/>
      <c r="B107" s="201">
        <v>295</v>
      </c>
      <c r="C107" s="146">
        <v>8</v>
      </c>
      <c r="D107" s="201" t="s">
        <v>48</v>
      </c>
      <c r="E107" s="202">
        <v>2</v>
      </c>
      <c r="F107" s="203">
        <f>VLOOKUP(D107,'[1]טיפוסי דירה'!$B$1:$E$51,2,FALSE)</f>
        <v>5</v>
      </c>
      <c r="G107" s="147">
        <v>125.66</v>
      </c>
      <c r="H107" s="148">
        <f>VLOOKUP(D107,'[1]טיפוסי דירה'!$B$1:$E$51,4,FALSE)</f>
        <v>22.25</v>
      </c>
      <c r="I107" s="149">
        <v>6.6749999999999998</v>
      </c>
      <c r="J107" s="233">
        <v>6.99</v>
      </c>
      <c r="K107" s="145">
        <v>2</v>
      </c>
      <c r="L107" s="152">
        <f>(G107+I107+(J107*0.4)+(K107*2))*$O$4-((G107-125)*0.15*$O$4)</f>
        <v>943471.152</v>
      </c>
      <c r="M107" s="153"/>
      <c r="N107" s="154" t="s">
        <v>30</v>
      </c>
      <c r="O107" s="204">
        <v>13</v>
      </c>
      <c r="P107" s="86"/>
      <c r="Q107" s="87"/>
      <c r="T107" s="110"/>
    </row>
    <row r="108" spans="1:20" ht="15" customHeight="1" x14ac:dyDescent="0.3">
      <c r="A108" s="444"/>
      <c r="B108" s="201">
        <v>295</v>
      </c>
      <c r="C108" s="146">
        <v>9</v>
      </c>
      <c r="D108" s="201" t="s">
        <v>49</v>
      </c>
      <c r="E108" s="202">
        <v>2</v>
      </c>
      <c r="F108" s="203">
        <f>VLOOKUP(D108,'[1]טיפוסי דירה'!$B$1:$E$51,2,FALSE)</f>
        <v>4</v>
      </c>
      <c r="G108" s="147">
        <v>104</v>
      </c>
      <c r="H108" s="148">
        <f>VLOOKUP(D108,'[1]טיפוסי דירה'!$B$1:$E$51,4,FALSE)</f>
        <v>19.91</v>
      </c>
      <c r="I108" s="149">
        <v>5.9729999999999999</v>
      </c>
      <c r="J108" s="233">
        <v>8.89</v>
      </c>
      <c r="K108" s="145">
        <v>1</v>
      </c>
      <c r="L108" s="152">
        <f>(G108+I108+(J108*0.4)+(K108*2))*$O$4</f>
        <v>783979.79399999999</v>
      </c>
      <c r="M108" s="153"/>
      <c r="N108" s="154" t="s">
        <v>30</v>
      </c>
      <c r="O108" s="204">
        <v>27</v>
      </c>
      <c r="P108" s="86"/>
      <c r="Q108" s="108"/>
      <c r="T108" s="110"/>
    </row>
    <row r="109" spans="1:20" ht="18.75" x14ac:dyDescent="0.3">
      <c r="A109" s="444"/>
      <c r="B109" s="201">
        <v>295</v>
      </c>
      <c r="C109" s="146">
        <v>10</v>
      </c>
      <c r="D109" s="201" t="s">
        <v>50</v>
      </c>
      <c r="E109" s="202">
        <v>2</v>
      </c>
      <c r="F109" s="203">
        <f>VLOOKUP(D109,'[1]טיפוסי דירה'!$B$1:$E$51,2,FALSE)</f>
        <v>4</v>
      </c>
      <c r="G109" s="147">
        <v>104.07</v>
      </c>
      <c r="H109" s="148">
        <f>VLOOKUP(D109,'[1]טיפוסי דירה'!$B$1:$E$51,4,FALSE)</f>
        <v>19.91</v>
      </c>
      <c r="I109" s="149">
        <v>5.9729999999999999</v>
      </c>
      <c r="J109" s="233">
        <v>5.21</v>
      </c>
      <c r="K109" s="145">
        <v>1</v>
      </c>
      <c r="L109" s="152">
        <f>(G109+I109+(J109*0.4)+(K109*2))*$O$4</f>
        <v>774465.82199999993</v>
      </c>
      <c r="M109" s="153"/>
      <c r="N109" s="154" t="s">
        <v>30</v>
      </c>
      <c r="O109" s="204">
        <v>9</v>
      </c>
      <c r="P109" s="86"/>
      <c r="Q109" s="108"/>
      <c r="T109" s="110"/>
    </row>
    <row r="110" spans="1:20" ht="18.75" x14ac:dyDescent="0.3">
      <c r="A110" s="444"/>
      <c r="B110" s="201">
        <v>295</v>
      </c>
      <c r="C110" s="146">
        <v>11</v>
      </c>
      <c r="D110" s="201" t="s">
        <v>51</v>
      </c>
      <c r="E110" s="202">
        <v>2</v>
      </c>
      <c r="F110" s="203">
        <f>VLOOKUP(D110,'[1]טיפוסי דירה'!$B$1:$E$51,2,FALSE)</f>
        <v>3</v>
      </c>
      <c r="G110" s="147">
        <v>79.73</v>
      </c>
      <c r="H110" s="148">
        <v>14.05</v>
      </c>
      <c r="I110" s="149">
        <v>4.2149999999999999</v>
      </c>
      <c r="J110" s="233">
        <v>5.01</v>
      </c>
      <c r="K110" s="145">
        <v>1</v>
      </c>
      <c r="L110" s="152">
        <f>(G110+I110+(J110*0.4)+(K110*2))*$O$4</f>
        <v>596821.91400000011</v>
      </c>
      <c r="M110" s="153"/>
      <c r="N110" s="154" t="s">
        <v>30</v>
      </c>
      <c r="O110" s="204">
        <v>16</v>
      </c>
      <c r="P110" s="86"/>
      <c r="Q110" s="86"/>
      <c r="T110" s="110"/>
    </row>
    <row r="111" spans="1:20" ht="18.75" x14ac:dyDescent="0.3">
      <c r="A111" s="444"/>
      <c r="B111" s="201">
        <v>295</v>
      </c>
      <c r="C111" s="146">
        <v>12</v>
      </c>
      <c r="D111" s="201" t="s">
        <v>48</v>
      </c>
      <c r="E111" s="202">
        <v>3</v>
      </c>
      <c r="F111" s="203">
        <f>VLOOKUP(D111,'[1]טיפוסי דירה'!$B$1:$E$51,2,FALSE)</f>
        <v>5</v>
      </c>
      <c r="G111" s="147">
        <v>125.66</v>
      </c>
      <c r="H111" s="148">
        <f>VLOOKUP(D111,'[1]טיפוסי דירה'!$B$1:$E$51,4,FALSE)</f>
        <v>22.25</v>
      </c>
      <c r="I111" s="149">
        <v>6.6749999999999998</v>
      </c>
      <c r="J111" s="233">
        <v>7.09</v>
      </c>
      <c r="K111" s="145">
        <v>2</v>
      </c>
      <c r="L111" s="152">
        <f>(G111+I111+(J111*0.4)+(K111*2))*$O$4-((G111-125)*0.15*$O$4)</f>
        <v>943742.59200000018</v>
      </c>
      <c r="M111" s="153"/>
      <c r="N111" s="154" t="s">
        <v>30</v>
      </c>
      <c r="O111" s="204">
        <v>24</v>
      </c>
      <c r="P111" s="86"/>
      <c r="Q111" s="87"/>
      <c r="T111" s="110"/>
    </row>
    <row r="112" spans="1:20" ht="18.75" x14ac:dyDescent="0.3">
      <c r="A112" s="444"/>
      <c r="B112" s="201">
        <v>295</v>
      </c>
      <c r="C112" s="146">
        <v>13</v>
      </c>
      <c r="D112" s="201" t="s">
        <v>49</v>
      </c>
      <c r="E112" s="202">
        <v>3</v>
      </c>
      <c r="F112" s="203">
        <f>VLOOKUP(D112,'[1]טיפוסי דירה'!$B$1:$E$51,2,FALSE)</f>
        <v>4</v>
      </c>
      <c r="G112" s="147">
        <v>104</v>
      </c>
      <c r="H112" s="148">
        <f>VLOOKUP(D112,'[1]טיפוסי דירה'!$B$1:$E$51,4,FALSE)</f>
        <v>19.91</v>
      </c>
      <c r="I112" s="149">
        <v>5.9729999999999999</v>
      </c>
      <c r="J112" s="233">
        <v>6.69</v>
      </c>
      <c r="K112" s="145">
        <v>2</v>
      </c>
      <c r="L112" s="152">
        <f>(G112+I112+(J112*0.4)+(K112*2))*$O$4</f>
        <v>791580.11400000006</v>
      </c>
      <c r="M112" s="153"/>
      <c r="N112" s="154" t="s">
        <v>30</v>
      </c>
      <c r="O112" s="204">
        <v>21</v>
      </c>
      <c r="P112" s="86"/>
      <c r="Q112" s="108"/>
      <c r="T112" s="110"/>
    </row>
    <row r="113" spans="1:20" ht="15" customHeight="1" x14ac:dyDescent="0.3">
      <c r="A113" s="444"/>
      <c r="B113" s="201">
        <v>295</v>
      </c>
      <c r="C113" s="146">
        <v>14</v>
      </c>
      <c r="D113" s="201" t="s">
        <v>50</v>
      </c>
      <c r="E113" s="202">
        <v>3</v>
      </c>
      <c r="F113" s="203">
        <f>VLOOKUP(D113,'[1]טיפוסי דירה'!$B$1:$E$51,2,FALSE)</f>
        <v>4</v>
      </c>
      <c r="G113" s="147">
        <v>104.07</v>
      </c>
      <c r="H113" s="148">
        <f>VLOOKUP(D113,'[1]טיפוסי דירה'!$B$1:$E$51,4,FALSE)</f>
        <v>19.91</v>
      </c>
      <c r="I113" s="149">
        <v>5.9729999999999999</v>
      </c>
      <c r="J113" s="233">
        <v>5.37</v>
      </c>
      <c r="K113" s="145">
        <v>2</v>
      </c>
      <c r="L113" s="152">
        <f>(G113+I113+(J113*0.4)+(K113*2))*$O$4</f>
        <v>788472.12599999993</v>
      </c>
      <c r="M113" s="153"/>
      <c r="N113" s="154" t="s">
        <v>30</v>
      </c>
      <c r="O113" s="204">
        <v>11</v>
      </c>
      <c r="P113" s="86"/>
      <c r="Q113" s="108"/>
      <c r="T113" s="110"/>
    </row>
    <row r="114" spans="1:20" ht="18.75" x14ac:dyDescent="0.3">
      <c r="A114" s="444"/>
      <c r="B114" s="201">
        <v>295</v>
      </c>
      <c r="C114" s="146">
        <v>15</v>
      </c>
      <c r="D114" s="201" t="s">
        <v>51</v>
      </c>
      <c r="E114" s="202">
        <v>3</v>
      </c>
      <c r="F114" s="203">
        <f>VLOOKUP(D114,'[1]טיפוסי דירה'!$B$1:$E$51,2,FALSE)</f>
        <v>3</v>
      </c>
      <c r="G114" s="147">
        <v>79.73</v>
      </c>
      <c r="H114" s="148">
        <v>14.05</v>
      </c>
      <c r="I114" s="149">
        <v>4.2149999999999999</v>
      </c>
      <c r="J114" s="233">
        <v>11.02</v>
      </c>
      <c r="K114" s="145">
        <v>1</v>
      </c>
      <c r="L114" s="152">
        <f>(G114+I114+(J114*0.4)+(K114*2))*$O$4</f>
        <v>613135.4580000001</v>
      </c>
      <c r="M114" s="153"/>
      <c r="N114" s="154" t="s">
        <v>30</v>
      </c>
      <c r="O114" s="204">
        <v>12</v>
      </c>
      <c r="P114" s="86"/>
      <c r="Q114" s="86"/>
      <c r="T114" s="110"/>
    </row>
    <row r="115" spans="1:20" ht="15" customHeight="1" x14ac:dyDescent="0.3">
      <c r="A115" s="444"/>
      <c r="B115" s="201">
        <v>295</v>
      </c>
      <c r="C115" s="161">
        <v>16</v>
      </c>
      <c r="D115" s="201" t="s">
        <v>48</v>
      </c>
      <c r="E115" s="202">
        <v>4</v>
      </c>
      <c r="F115" s="203">
        <f>VLOOKUP(D115,'[1]טיפוסי דירה'!$B$1:$E$51,2,FALSE)</f>
        <v>5</v>
      </c>
      <c r="G115" s="147">
        <v>125.66</v>
      </c>
      <c r="H115" s="148">
        <f>VLOOKUP(D115,'[1]טיפוסי דירה'!$B$1:$E$51,4,FALSE)</f>
        <v>22.25</v>
      </c>
      <c r="I115" s="149">
        <v>6.6749999999999998</v>
      </c>
      <c r="J115" s="233">
        <v>9.74</v>
      </c>
      <c r="K115" s="151">
        <v>2</v>
      </c>
      <c r="L115" s="152">
        <f>(G115+I115+(J115*0.4)+(K115*2))*$O$4-((G115-125)*0.15*$O$4)</f>
        <v>950935.75199999998</v>
      </c>
      <c r="M115" s="153"/>
      <c r="N115" s="162" t="s">
        <v>30</v>
      </c>
      <c r="O115" s="201">
        <v>29</v>
      </c>
      <c r="P115" s="86"/>
      <c r="Q115" s="87"/>
      <c r="T115" s="110"/>
    </row>
    <row r="116" spans="1:20" ht="18.75" x14ac:dyDescent="0.3">
      <c r="A116" s="444"/>
      <c r="B116" s="201">
        <v>295</v>
      </c>
      <c r="C116" s="161">
        <v>17</v>
      </c>
      <c r="D116" s="201" t="s">
        <v>49</v>
      </c>
      <c r="E116" s="202">
        <v>4</v>
      </c>
      <c r="F116" s="203">
        <f>VLOOKUP(D116,'[1]טיפוסי דירה'!$B$1:$E$51,2,FALSE)</f>
        <v>4</v>
      </c>
      <c r="G116" s="147">
        <v>104</v>
      </c>
      <c r="H116" s="148">
        <f>VLOOKUP(D116,'[1]טיפוסי דירה'!$B$1:$E$51,4,FALSE)</f>
        <v>19.91</v>
      </c>
      <c r="I116" s="149">
        <v>5.9729999999999999</v>
      </c>
      <c r="J116" s="233">
        <v>5.55</v>
      </c>
      <c r="K116" s="151">
        <v>2</v>
      </c>
      <c r="L116" s="152">
        <f>(G116+I116+(J116*0.4)+(K116*2))*$O$4</f>
        <v>788485.69799999997</v>
      </c>
      <c r="M116" s="153"/>
      <c r="N116" s="162" t="s">
        <v>30</v>
      </c>
      <c r="O116" s="201">
        <v>6</v>
      </c>
      <c r="P116" s="86"/>
      <c r="Q116" s="88"/>
      <c r="T116" s="110"/>
    </row>
    <row r="117" spans="1:20" ht="18.75" x14ac:dyDescent="0.3">
      <c r="A117" s="444"/>
      <c r="B117" s="201">
        <v>295</v>
      </c>
      <c r="C117" s="146">
        <v>18</v>
      </c>
      <c r="D117" s="201" t="s">
        <v>50</v>
      </c>
      <c r="E117" s="202">
        <v>4</v>
      </c>
      <c r="F117" s="203">
        <f>VLOOKUP(D117,'[1]טיפוסי דירה'!$B$1:$E$51,2,FALSE)</f>
        <v>4</v>
      </c>
      <c r="G117" s="147">
        <v>104.07</v>
      </c>
      <c r="H117" s="148">
        <f>VLOOKUP(D117,'[1]טיפוסי דירה'!$B$1:$E$51,4,FALSE)</f>
        <v>19.91</v>
      </c>
      <c r="I117" s="149">
        <v>5.9729999999999999</v>
      </c>
      <c r="J117" s="233">
        <v>5.49</v>
      </c>
      <c r="K117" s="145">
        <v>2</v>
      </c>
      <c r="L117" s="152">
        <f>(G117+I117+(J117*0.4)+(K117*2))*$O$4</f>
        <v>788797.85399999993</v>
      </c>
      <c r="M117" s="153"/>
      <c r="N117" s="154" t="s">
        <v>30</v>
      </c>
      <c r="O117" s="204">
        <v>1</v>
      </c>
      <c r="P117" s="86"/>
      <c r="Q117" s="108"/>
      <c r="T117" s="110"/>
    </row>
    <row r="118" spans="1:20" customFormat="1" ht="15" customHeight="1" x14ac:dyDescent="0.3">
      <c r="A118" s="444"/>
      <c r="B118" s="136">
        <v>295</v>
      </c>
      <c r="C118" s="137">
        <v>19</v>
      </c>
      <c r="D118" s="136" t="s">
        <v>51</v>
      </c>
      <c r="E118" s="137">
        <v>4</v>
      </c>
      <c r="F118" s="200">
        <f>VLOOKUP(D118,'[1]טיפוסי דירה'!$B$1:$E$51,2,FALSE)</f>
        <v>3</v>
      </c>
      <c r="G118" s="138">
        <f>VLOOKUP(D118,'[1]טיפוסי דירה'!$B$1:$E$51,3,FALSE)</f>
        <v>79.7</v>
      </c>
      <c r="H118" s="139">
        <f>VLOOKUP(D118,'[1]טיפוסי דירה'!$B$1:$E$51,4,FALSE)</f>
        <v>14.06</v>
      </c>
      <c r="I118" s="140">
        <v>4.218</v>
      </c>
      <c r="J118" s="230">
        <v>5.22</v>
      </c>
      <c r="K118" s="136">
        <v>1</v>
      </c>
      <c r="L118" s="142"/>
      <c r="M118" s="143"/>
      <c r="N118" s="160" t="s">
        <v>32</v>
      </c>
      <c r="O118" s="136">
        <v>5</v>
      </c>
      <c r="Q118" s="7"/>
    </row>
    <row r="119" spans="1:20" ht="18.75" x14ac:dyDescent="0.3">
      <c r="A119" s="444"/>
      <c r="B119" s="201">
        <v>295</v>
      </c>
      <c r="C119" s="161">
        <v>20</v>
      </c>
      <c r="D119" s="201" t="s">
        <v>48</v>
      </c>
      <c r="E119" s="202">
        <v>5</v>
      </c>
      <c r="F119" s="203">
        <f>VLOOKUP(D119,'[1]טיפוסי דירה'!$B$1:$E$51,2,FALSE)</f>
        <v>5</v>
      </c>
      <c r="G119" s="147">
        <v>125.66</v>
      </c>
      <c r="H119" s="148">
        <f>VLOOKUP(D119,'[1]טיפוסי דירה'!$B$1:$E$51,4,FALSE)</f>
        <v>22.25</v>
      </c>
      <c r="I119" s="149">
        <v>6.6749999999999998</v>
      </c>
      <c r="J119" s="233">
        <v>8.6</v>
      </c>
      <c r="K119" s="151">
        <v>2</v>
      </c>
      <c r="L119" s="152">
        <f>(G119+I119+(J119*0.4)+(K119*2))*$O$4-((G119-125)*0.15*$O$4)</f>
        <v>947841.33600000001</v>
      </c>
      <c r="M119" s="153"/>
      <c r="N119" s="162" t="s">
        <v>30</v>
      </c>
      <c r="O119" s="201">
        <v>25</v>
      </c>
      <c r="P119" s="86"/>
      <c r="Q119" s="87"/>
      <c r="T119" s="110"/>
    </row>
    <row r="120" spans="1:20" customFormat="1" ht="15" customHeight="1" x14ac:dyDescent="0.3">
      <c r="A120" s="444"/>
      <c r="B120" s="136">
        <v>295</v>
      </c>
      <c r="C120" s="137">
        <v>21</v>
      </c>
      <c r="D120" s="136" t="s">
        <v>49</v>
      </c>
      <c r="E120" s="137">
        <v>5</v>
      </c>
      <c r="F120" s="200">
        <f>VLOOKUP(D120,'[1]טיפוסי דירה'!$B$1:$E$51,2,FALSE)</f>
        <v>4</v>
      </c>
      <c r="G120" s="138">
        <f>VLOOKUP(D120,'[1]טיפוסי דירה'!$B$1:$E$51,3,FALSE)</f>
        <v>104.15</v>
      </c>
      <c r="H120" s="139">
        <f>VLOOKUP(D120,'[1]טיפוסי דירה'!$B$1:$E$51,4,FALSE)</f>
        <v>19.91</v>
      </c>
      <c r="I120" s="140">
        <v>5.9729999999999999</v>
      </c>
      <c r="J120" s="230">
        <v>7.65</v>
      </c>
      <c r="K120" s="136">
        <v>1</v>
      </c>
      <c r="L120" s="142"/>
      <c r="M120" s="143"/>
      <c r="N120" s="160" t="s">
        <v>32</v>
      </c>
      <c r="O120" s="136">
        <v>4</v>
      </c>
      <c r="Q120" s="7"/>
    </row>
    <row r="121" spans="1:20" customFormat="1" ht="15" customHeight="1" x14ac:dyDescent="0.3">
      <c r="A121" s="444"/>
      <c r="B121" s="136">
        <v>295</v>
      </c>
      <c r="C121" s="137">
        <v>22</v>
      </c>
      <c r="D121" s="136" t="s">
        <v>50</v>
      </c>
      <c r="E121" s="137">
        <v>5</v>
      </c>
      <c r="F121" s="200">
        <f>VLOOKUP(D121,'[1]טיפוסי דירה'!$B$1:$E$51,2,FALSE)</f>
        <v>4</v>
      </c>
      <c r="G121" s="138">
        <f>VLOOKUP(D121,'[1]טיפוסי דירה'!$B$1:$E$51,3,FALSE)</f>
        <v>104.21</v>
      </c>
      <c r="H121" s="139">
        <f>VLOOKUP(D121,'[1]טיפוסי דירה'!$B$1:$E$51,4,FALSE)</f>
        <v>19.91</v>
      </c>
      <c r="I121" s="140">
        <v>5.9729999999999999</v>
      </c>
      <c r="J121" s="230">
        <v>7.04</v>
      </c>
      <c r="K121" s="136">
        <v>1</v>
      </c>
      <c r="L121" s="142"/>
      <c r="M121" s="143"/>
      <c r="N121" s="160" t="s">
        <v>32</v>
      </c>
      <c r="O121" s="136">
        <v>2</v>
      </c>
      <c r="Q121" s="7"/>
    </row>
    <row r="122" spans="1:20" ht="18.75" x14ac:dyDescent="0.25">
      <c r="A122" s="444"/>
      <c r="B122" s="201">
        <v>295</v>
      </c>
      <c r="C122" s="146">
        <v>23</v>
      </c>
      <c r="D122" s="201" t="s">
        <v>51</v>
      </c>
      <c r="E122" s="202">
        <v>5</v>
      </c>
      <c r="F122" s="203">
        <f>VLOOKUP(D122,'[1]טיפוסי דירה'!$B$1:$E$51,2,FALSE)</f>
        <v>3</v>
      </c>
      <c r="G122" s="147">
        <v>79.73</v>
      </c>
      <c r="H122" s="148">
        <v>14.05</v>
      </c>
      <c r="I122" s="149">
        <v>4.2149999999999999</v>
      </c>
      <c r="J122" s="233">
        <v>11.86</v>
      </c>
      <c r="K122" s="145">
        <v>1</v>
      </c>
      <c r="L122" s="152">
        <f>(G122+I122+(J122*0.4)+(K122*2))*$O$4</f>
        <v>615415.554</v>
      </c>
      <c r="M122" s="153"/>
      <c r="N122" s="146" t="s">
        <v>30</v>
      </c>
      <c r="O122" s="204">
        <v>14</v>
      </c>
      <c r="P122" s="86"/>
      <c r="Q122" s="86"/>
      <c r="T122" s="110"/>
    </row>
    <row r="123" spans="1:20" customFormat="1" ht="15" customHeight="1" x14ac:dyDescent="0.3">
      <c r="A123" s="444"/>
      <c r="B123" s="136">
        <v>295</v>
      </c>
      <c r="C123" s="137">
        <v>24</v>
      </c>
      <c r="D123" s="136" t="s">
        <v>48</v>
      </c>
      <c r="E123" s="137">
        <v>6</v>
      </c>
      <c r="F123" s="200">
        <f>VLOOKUP(D123,'[1]טיפוסי דירה'!$B$1:$E$51,2,FALSE)</f>
        <v>5</v>
      </c>
      <c r="G123" s="138">
        <f>VLOOKUP(D123,'[1]טיפוסי דירה'!$B$1:$E$51,3,FALSE)</f>
        <v>125.62</v>
      </c>
      <c r="H123" s="139">
        <f>VLOOKUP(D123,'[1]טיפוסי דירה'!$B$1:$E$51,4,FALSE)</f>
        <v>22.25</v>
      </c>
      <c r="I123" s="140">
        <v>6.6749999999999998</v>
      </c>
      <c r="J123" s="230">
        <v>11.22</v>
      </c>
      <c r="K123" s="136">
        <v>2</v>
      </c>
      <c r="L123" s="142"/>
      <c r="M123" s="206"/>
      <c r="N123" s="160" t="s">
        <v>32</v>
      </c>
      <c r="O123" s="136">
        <v>31</v>
      </c>
      <c r="Q123" s="7"/>
    </row>
    <row r="124" spans="1:20" customFormat="1" ht="15" customHeight="1" x14ac:dyDescent="0.3">
      <c r="A124" s="444"/>
      <c r="B124" s="136">
        <v>295</v>
      </c>
      <c r="C124" s="137">
        <v>25</v>
      </c>
      <c r="D124" s="136" t="s">
        <v>49</v>
      </c>
      <c r="E124" s="137">
        <v>6</v>
      </c>
      <c r="F124" s="200">
        <f>VLOOKUP(D124,'[1]טיפוסי דירה'!$B$1:$E$51,2,FALSE)</f>
        <v>4</v>
      </c>
      <c r="G124" s="138">
        <f>VLOOKUP(D124,'[1]טיפוסי דירה'!$B$1:$E$51,3,FALSE)</f>
        <v>104.15</v>
      </c>
      <c r="H124" s="139">
        <f>VLOOKUP(D124,'[1]טיפוסי דירה'!$B$1:$E$51,4,FALSE)</f>
        <v>19.91</v>
      </c>
      <c r="I124" s="140">
        <v>5.9729999999999999</v>
      </c>
      <c r="J124" s="230">
        <v>8.1</v>
      </c>
      <c r="K124" s="136">
        <v>2</v>
      </c>
      <c r="L124" s="142"/>
      <c r="M124" s="143"/>
      <c r="N124" s="160" t="s">
        <v>32</v>
      </c>
      <c r="O124" s="136">
        <v>26</v>
      </c>
      <c r="Q124" s="7"/>
    </row>
    <row r="125" spans="1:20" customFormat="1" ht="15" customHeight="1" x14ac:dyDescent="0.3">
      <c r="A125" s="444"/>
      <c r="B125" s="136">
        <v>295</v>
      </c>
      <c r="C125" s="137">
        <v>26</v>
      </c>
      <c r="D125" s="136" t="s">
        <v>50</v>
      </c>
      <c r="E125" s="137">
        <v>6</v>
      </c>
      <c r="F125" s="200">
        <f>VLOOKUP(D125,'[1]טיפוסי דירה'!$B$1:$E$51,2,FALSE)</f>
        <v>4</v>
      </c>
      <c r="G125" s="138">
        <f>VLOOKUP(D125,'[1]טיפוסי דירה'!$B$1:$E$51,3,FALSE)</f>
        <v>104.21</v>
      </c>
      <c r="H125" s="139">
        <f>VLOOKUP(D125,'[1]טיפוסי דירה'!$B$1:$E$51,4,FALSE)</f>
        <v>19.91</v>
      </c>
      <c r="I125" s="140">
        <v>5.9729999999999999</v>
      </c>
      <c r="J125" s="230">
        <v>5.21</v>
      </c>
      <c r="K125" s="136">
        <v>2</v>
      </c>
      <c r="L125" s="142"/>
      <c r="M125" s="143"/>
      <c r="N125" s="160" t="s">
        <v>32</v>
      </c>
      <c r="O125" s="136">
        <v>8</v>
      </c>
      <c r="Q125" s="7"/>
    </row>
    <row r="126" spans="1:20" customFormat="1" ht="15" customHeight="1" x14ac:dyDescent="0.3">
      <c r="A126" s="444"/>
      <c r="B126" s="136">
        <v>295</v>
      </c>
      <c r="C126" s="137">
        <v>27</v>
      </c>
      <c r="D126" s="136" t="s">
        <v>51</v>
      </c>
      <c r="E126" s="137">
        <v>6</v>
      </c>
      <c r="F126" s="200">
        <f>VLOOKUP(D126,'[1]טיפוסי דירה'!$B$1:$E$51,2,FALSE)</f>
        <v>3</v>
      </c>
      <c r="G126" s="138">
        <f>VLOOKUP(D126,'[1]טיפוסי דירה'!$B$1:$E$51,3,FALSE)</f>
        <v>79.7</v>
      </c>
      <c r="H126" s="139">
        <f>VLOOKUP(D126,'[1]טיפוסי דירה'!$B$1:$E$51,4,FALSE)</f>
        <v>14.06</v>
      </c>
      <c r="I126" s="140">
        <v>4.218</v>
      </c>
      <c r="J126" s="230">
        <v>7.51</v>
      </c>
      <c r="K126" s="136">
        <v>1</v>
      </c>
      <c r="L126" s="142"/>
      <c r="M126" s="143"/>
      <c r="N126" s="160" t="s">
        <v>32</v>
      </c>
      <c r="O126" s="136">
        <v>28</v>
      </c>
      <c r="Q126" s="7"/>
    </row>
    <row r="127" spans="1:20" customFormat="1" ht="15" customHeight="1" x14ac:dyDescent="0.3">
      <c r="A127" s="444"/>
      <c r="B127" s="136">
        <v>295</v>
      </c>
      <c r="C127" s="137">
        <v>28</v>
      </c>
      <c r="D127" s="136" t="s">
        <v>52</v>
      </c>
      <c r="E127" s="137">
        <v>7</v>
      </c>
      <c r="F127" s="200">
        <f>VLOOKUP(D127,'[1]טיפוסי דירה'!$B$1:$E$51,2,FALSE)</f>
        <v>6</v>
      </c>
      <c r="G127" s="138">
        <f>VLOOKUP(D127,'[1]טיפוסי דירה'!$B$1:$E$51,3,FALSE)</f>
        <v>168.49</v>
      </c>
      <c r="H127" s="139">
        <f>VLOOKUP(D127,'[1]טיפוסי דירה'!$B$1:$E$51,4,FALSE)</f>
        <v>78.25</v>
      </c>
      <c r="I127" s="140">
        <v>16.824999999999999</v>
      </c>
      <c r="J127" s="230">
        <v>5.36</v>
      </c>
      <c r="K127" s="136">
        <v>2</v>
      </c>
      <c r="L127" s="142"/>
      <c r="M127" s="143"/>
      <c r="N127" s="160" t="s">
        <v>32</v>
      </c>
      <c r="O127" s="136">
        <v>18</v>
      </c>
      <c r="Q127" s="7"/>
    </row>
    <row r="128" spans="1:20" customFormat="1" ht="15" customHeight="1" x14ac:dyDescent="0.2">
      <c r="A128" s="444"/>
      <c r="B128" s="136">
        <v>295</v>
      </c>
      <c r="C128" s="137">
        <v>29</v>
      </c>
      <c r="D128" s="136" t="s">
        <v>52</v>
      </c>
      <c r="E128" s="137">
        <v>7</v>
      </c>
      <c r="F128" s="136">
        <f>VLOOKUP(D128,'[1]טיפוסי דירה'!$B$1:$E$51,2,FALSE)</f>
        <v>6</v>
      </c>
      <c r="G128" s="137">
        <f>VLOOKUP(D128,'[1]טיפוסי דירה'!$B$1:$E$51,3,FALSE)</f>
        <v>168.49</v>
      </c>
      <c r="H128" s="136">
        <f>VLOOKUP(D128,'[1]טיפוסי דירה'!$B$1:$E$51,4,FALSE)</f>
        <v>78.25</v>
      </c>
      <c r="I128" s="207">
        <v>16.824999999999999</v>
      </c>
      <c r="J128" s="141">
        <v>6.78</v>
      </c>
      <c r="K128" s="136">
        <v>2</v>
      </c>
      <c r="L128" s="137"/>
      <c r="M128" s="136"/>
      <c r="N128" s="137" t="s">
        <v>32</v>
      </c>
      <c r="O128" s="136">
        <v>23</v>
      </c>
    </row>
    <row r="129" spans="1:20" customFormat="1" ht="15" customHeight="1" x14ac:dyDescent="0.3">
      <c r="A129" s="444"/>
      <c r="B129" s="136">
        <v>295</v>
      </c>
      <c r="C129" s="137">
        <v>30</v>
      </c>
      <c r="D129" s="136" t="s">
        <v>53</v>
      </c>
      <c r="E129" s="137">
        <v>8</v>
      </c>
      <c r="F129" s="200">
        <f>VLOOKUP(D129,'[1]טיפוסי דירה'!$B$1:$E$51,2,FALSE)</f>
        <v>5</v>
      </c>
      <c r="G129" s="138">
        <f>VLOOKUP(D129,'[1]טיפוסי דירה'!$B$1:$E$51,3,FALSE)</f>
        <v>147.15</v>
      </c>
      <c r="H129" s="139">
        <f>VLOOKUP(D129,'[1]טיפוסי דירה'!$B$1:$E$51,4,FALSE)</f>
        <v>43.27</v>
      </c>
      <c r="I129" s="140">
        <v>11.654</v>
      </c>
      <c r="J129" s="230">
        <v>13.1</v>
      </c>
      <c r="K129" s="136">
        <v>2</v>
      </c>
      <c r="L129" s="142"/>
      <c r="M129" s="143"/>
      <c r="N129" s="160" t="s">
        <v>32</v>
      </c>
      <c r="O129" s="136">
        <v>30</v>
      </c>
      <c r="Q129" s="7"/>
    </row>
    <row r="130" spans="1:20" customFormat="1" ht="15.75" customHeight="1" thickBot="1" x14ac:dyDescent="0.35">
      <c r="A130" s="454"/>
      <c r="B130" s="210">
        <v>295</v>
      </c>
      <c r="C130" s="211">
        <v>31</v>
      </c>
      <c r="D130" s="210" t="s">
        <v>53</v>
      </c>
      <c r="E130" s="211">
        <v>8</v>
      </c>
      <c r="F130" s="212">
        <f>VLOOKUP(D130,'[1]טיפוסי דירה'!$B$1:$E$51,2,FALSE)</f>
        <v>5</v>
      </c>
      <c r="G130" s="213">
        <f>VLOOKUP(D130,'[1]טיפוסי דירה'!$B$1:$E$51,3,FALSE)</f>
        <v>147.15</v>
      </c>
      <c r="H130" s="214">
        <f>VLOOKUP(D130,'[1]טיפוסי דירה'!$B$1:$E$51,4,FALSE)</f>
        <v>43.27</v>
      </c>
      <c r="I130" s="215">
        <v>11.654</v>
      </c>
      <c r="J130" s="236">
        <v>5.23</v>
      </c>
      <c r="K130" s="210">
        <v>2</v>
      </c>
      <c r="L130" s="177"/>
      <c r="M130" s="217"/>
      <c r="N130" s="225" t="s">
        <v>32</v>
      </c>
      <c r="O130" s="210">
        <v>17</v>
      </c>
      <c r="Q130" s="7"/>
    </row>
    <row r="131" spans="1:20" customFormat="1" ht="15.75" customHeight="1" thickBot="1" x14ac:dyDescent="0.35">
      <c r="A131" s="218" t="s">
        <v>40</v>
      </c>
      <c r="B131" s="219"/>
      <c r="C131" s="241"/>
      <c r="D131" s="219"/>
      <c r="E131" s="241"/>
      <c r="F131" s="219"/>
      <c r="G131" s="294">
        <f>SUMIF(N100:N130,"כן",G100:G130)/COUNTIF(N100:N130,"כן")</f>
        <v>104.67647058823529</v>
      </c>
      <c r="H131" s="220"/>
      <c r="I131" s="242">
        <v>0</v>
      </c>
      <c r="J131" s="243"/>
      <c r="K131" s="221"/>
      <c r="L131" s="243"/>
      <c r="M131" s="221"/>
      <c r="N131" s="295">
        <f>COUNTIF(N100:N130,"כן")/COUNT(C100:C130)</f>
        <v>0.54838709677419351</v>
      </c>
      <c r="O131" s="223"/>
      <c r="Q131" s="1"/>
    </row>
    <row r="132" spans="1:20" customFormat="1" ht="15" customHeight="1" x14ac:dyDescent="0.3">
      <c r="A132" s="449" t="s">
        <v>44</v>
      </c>
      <c r="B132" s="190">
        <v>296</v>
      </c>
      <c r="C132" s="191">
        <v>1</v>
      </c>
      <c r="D132" s="190" t="s">
        <v>45</v>
      </c>
      <c r="E132" s="191" t="s">
        <v>29</v>
      </c>
      <c r="F132" s="192">
        <f>VLOOKUP(D132,'[1]טיפוסי דירה'!$B$1:$E$51,2,FALSE)</f>
        <v>5</v>
      </c>
      <c r="G132" s="193">
        <f>VLOOKUP(D132,'[1]טיפוסי דירה'!$B$1:$E$51,3,FALSE)</f>
        <v>126.81</v>
      </c>
      <c r="H132" s="194">
        <v>117.82</v>
      </c>
      <c r="I132" s="195">
        <v>20.782</v>
      </c>
      <c r="J132" s="229">
        <v>6.7</v>
      </c>
      <c r="K132" s="197">
        <v>2</v>
      </c>
      <c r="L132" s="198"/>
      <c r="M132" s="199"/>
      <c r="N132" s="224" t="s">
        <v>32</v>
      </c>
      <c r="O132" s="190">
        <v>26</v>
      </c>
      <c r="Q132" s="7"/>
    </row>
    <row r="133" spans="1:20" customFormat="1" ht="15" customHeight="1" x14ac:dyDescent="0.3">
      <c r="A133" s="441"/>
      <c r="B133" s="136">
        <v>296</v>
      </c>
      <c r="C133" s="137">
        <v>2</v>
      </c>
      <c r="D133" s="136" t="s">
        <v>46</v>
      </c>
      <c r="E133" s="137" t="s">
        <v>29</v>
      </c>
      <c r="F133" s="200">
        <f>VLOOKUP(D133,'[1]טיפוסי דירה'!$B$1:$E$51,2,FALSE)</f>
        <v>4</v>
      </c>
      <c r="G133" s="138">
        <f>VLOOKUP(D133,'[1]טיפוסי דירה'!$B$1:$E$51,3,FALSE)</f>
        <v>104.15</v>
      </c>
      <c r="H133" s="139">
        <v>176.19</v>
      </c>
      <c r="I133" s="140">
        <v>21</v>
      </c>
      <c r="J133" s="230">
        <v>7.35</v>
      </c>
      <c r="K133" s="136">
        <v>2</v>
      </c>
      <c r="L133" s="142"/>
      <c r="M133" s="143"/>
      <c r="N133" s="160" t="s">
        <v>32</v>
      </c>
      <c r="O133" s="136">
        <v>11</v>
      </c>
      <c r="Q133" s="7"/>
    </row>
    <row r="134" spans="1:20" customFormat="1" ht="15" customHeight="1" x14ac:dyDescent="0.3">
      <c r="A134" s="441"/>
      <c r="B134" s="136">
        <v>296</v>
      </c>
      <c r="C134" s="137">
        <v>3</v>
      </c>
      <c r="D134" s="136" t="s">
        <v>47</v>
      </c>
      <c r="E134" s="137" t="s">
        <v>29</v>
      </c>
      <c r="F134" s="200">
        <f>VLOOKUP(D134,'[1]טיפוסי דירה'!$B$1:$E$51,2,FALSE)</f>
        <v>4</v>
      </c>
      <c r="G134" s="138">
        <f>VLOOKUP(D134,'[1]טיפוסי דירה'!$B$1:$E$51,3,FALSE)</f>
        <v>104.71</v>
      </c>
      <c r="H134" s="139">
        <v>157.87</v>
      </c>
      <c r="I134" s="140">
        <v>21</v>
      </c>
      <c r="J134" s="230">
        <v>6.34</v>
      </c>
      <c r="K134" s="136">
        <v>2</v>
      </c>
      <c r="L134" s="142"/>
      <c r="M134" s="143"/>
      <c r="N134" s="160" t="s">
        <v>32</v>
      </c>
      <c r="O134" s="136">
        <v>20</v>
      </c>
      <c r="Q134" s="8"/>
    </row>
    <row r="135" spans="1:20" ht="15" customHeight="1" x14ac:dyDescent="0.3">
      <c r="A135" s="441"/>
      <c r="B135" s="201">
        <v>296</v>
      </c>
      <c r="C135" s="161">
        <v>4</v>
      </c>
      <c r="D135" s="201" t="s">
        <v>48</v>
      </c>
      <c r="E135" s="202">
        <v>1</v>
      </c>
      <c r="F135" s="203">
        <f>VLOOKUP(D135,'[1]טיפוסי דירה'!$B$1:$E$51,2,FALSE)</f>
        <v>5</v>
      </c>
      <c r="G135" s="147">
        <v>125.66</v>
      </c>
      <c r="H135" s="148">
        <f>VLOOKUP(D135,'[1]טיפוסי דירה'!$B$1:$E$51,4,FALSE)</f>
        <v>22.25</v>
      </c>
      <c r="I135" s="149">
        <v>6.6749999999999998</v>
      </c>
      <c r="J135" s="233">
        <v>5.73</v>
      </c>
      <c r="K135" s="163">
        <v>2</v>
      </c>
      <c r="L135" s="152">
        <f>(G135+I135+(J135*0.4)+(K135*2))*$O$4-((G135-125)*0.15*$O$4)</f>
        <v>940051.00800000003</v>
      </c>
      <c r="M135" s="153"/>
      <c r="N135" s="154" t="s">
        <v>30</v>
      </c>
      <c r="O135" s="204">
        <v>31</v>
      </c>
      <c r="P135" s="86"/>
      <c r="Q135" s="87"/>
      <c r="T135" s="110"/>
    </row>
    <row r="136" spans="1:20" ht="18.75" x14ac:dyDescent="0.3">
      <c r="A136" s="441"/>
      <c r="B136" s="201">
        <v>296</v>
      </c>
      <c r="C136" s="161">
        <v>5</v>
      </c>
      <c r="D136" s="201" t="s">
        <v>49</v>
      </c>
      <c r="E136" s="202">
        <v>1</v>
      </c>
      <c r="F136" s="203">
        <f>VLOOKUP(D136,'[1]טיפוסי דירה'!$B$1:$E$51,2,FALSE)</f>
        <v>4</v>
      </c>
      <c r="G136" s="147">
        <v>104</v>
      </c>
      <c r="H136" s="148">
        <f>VLOOKUP(D136,'[1]טיפוסי דירה'!$B$1:$E$51,4,FALSE)</f>
        <v>19.91</v>
      </c>
      <c r="I136" s="149">
        <v>5.9729999999999999</v>
      </c>
      <c r="J136" s="233">
        <v>11.44</v>
      </c>
      <c r="K136" s="163">
        <v>1</v>
      </c>
      <c r="L136" s="152">
        <f>(G136+I136+(J136*0.4)+(K136*2))*$O$4</f>
        <v>790901.51399999997</v>
      </c>
      <c r="M136" s="153"/>
      <c r="N136" s="162" t="s">
        <v>30</v>
      </c>
      <c r="O136" s="201">
        <v>10</v>
      </c>
      <c r="P136" s="86"/>
      <c r="Q136" s="108"/>
      <c r="T136" s="110"/>
    </row>
    <row r="137" spans="1:20" ht="15" customHeight="1" x14ac:dyDescent="0.3">
      <c r="A137" s="441"/>
      <c r="B137" s="201">
        <v>296</v>
      </c>
      <c r="C137" s="161">
        <v>6</v>
      </c>
      <c r="D137" s="201" t="s">
        <v>50</v>
      </c>
      <c r="E137" s="202">
        <v>1</v>
      </c>
      <c r="F137" s="203">
        <f>VLOOKUP(D137,'[1]טיפוסי דירה'!$B$1:$E$51,2,FALSE)</f>
        <v>4</v>
      </c>
      <c r="G137" s="147">
        <v>104.07</v>
      </c>
      <c r="H137" s="148">
        <f>VLOOKUP(D137,'[1]טיפוסי דירה'!$B$1:$E$51,4,FALSE)</f>
        <v>19.91</v>
      </c>
      <c r="I137" s="149">
        <v>5.9729999999999999</v>
      </c>
      <c r="J137" s="233">
        <v>5.87</v>
      </c>
      <c r="K137" s="151">
        <v>2</v>
      </c>
      <c r="L137" s="152">
        <f>(G137+I137+(J137*0.4)+(K137*2))*$O$4</f>
        <v>789829.32599999988</v>
      </c>
      <c r="M137" s="153"/>
      <c r="N137" s="154" t="s">
        <v>30</v>
      </c>
      <c r="O137" s="204">
        <v>28</v>
      </c>
      <c r="P137" s="86"/>
      <c r="Q137" s="108"/>
      <c r="T137" s="110"/>
    </row>
    <row r="138" spans="1:20" ht="15" customHeight="1" x14ac:dyDescent="0.3">
      <c r="A138" s="441"/>
      <c r="B138" s="151">
        <v>296</v>
      </c>
      <c r="C138" s="161">
        <v>7</v>
      </c>
      <c r="D138" s="151" t="s">
        <v>51</v>
      </c>
      <c r="E138" s="161">
        <v>1</v>
      </c>
      <c r="F138" s="234">
        <f>VLOOKUP(D138,'[1]טיפוסי דירה'!$B$1:$E$51,2,FALSE)</f>
        <v>3</v>
      </c>
      <c r="G138" s="157">
        <v>79.73</v>
      </c>
      <c r="H138" s="158">
        <v>14.05</v>
      </c>
      <c r="I138" s="159">
        <v>4.2149999999999999</v>
      </c>
      <c r="J138" s="233">
        <v>5.16</v>
      </c>
      <c r="K138" s="151">
        <v>1</v>
      </c>
      <c r="L138" s="152">
        <f>(G138+I138+(J138*0.4)+(K138*2))*$O$4</f>
        <v>597229.07400000014</v>
      </c>
      <c r="M138" s="153"/>
      <c r="N138" s="154" t="s">
        <v>30</v>
      </c>
      <c r="O138" s="145">
        <v>5</v>
      </c>
      <c r="P138" s="86"/>
      <c r="Q138" s="86"/>
      <c r="T138" s="110"/>
    </row>
    <row r="139" spans="1:20" ht="18.75" x14ac:dyDescent="0.3">
      <c r="A139" s="441"/>
      <c r="B139" s="201">
        <v>296</v>
      </c>
      <c r="C139" s="161">
        <v>8</v>
      </c>
      <c r="D139" s="201" t="s">
        <v>48</v>
      </c>
      <c r="E139" s="202">
        <v>2</v>
      </c>
      <c r="F139" s="203">
        <f>VLOOKUP(D139,'[1]טיפוסי דירה'!$B$1:$E$51,2,FALSE)</f>
        <v>5</v>
      </c>
      <c r="G139" s="147">
        <v>125.66</v>
      </c>
      <c r="H139" s="148">
        <f>VLOOKUP(D139,'[1]טיפוסי דירה'!$B$1:$E$51,4,FALSE)</f>
        <v>22.25</v>
      </c>
      <c r="I139" s="149">
        <v>6.6749999999999998</v>
      </c>
      <c r="J139" s="233">
        <v>5.86</v>
      </c>
      <c r="K139" s="151">
        <v>2</v>
      </c>
      <c r="L139" s="152">
        <f>(G139+I139+(J139*0.4)+(K139*2))*$O$4-((G139-125)*0.15*$O$4)</f>
        <v>940403.88</v>
      </c>
      <c r="M139" s="153"/>
      <c r="N139" s="154" t="s">
        <v>30</v>
      </c>
      <c r="O139" s="204">
        <v>23</v>
      </c>
      <c r="P139" s="86"/>
      <c r="Q139" s="87"/>
      <c r="T139" s="110"/>
    </row>
    <row r="140" spans="1:20" ht="15" customHeight="1" x14ac:dyDescent="0.3">
      <c r="A140" s="441"/>
      <c r="B140" s="201">
        <v>296</v>
      </c>
      <c r="C140" s="161">
        <v>9</v>
      </c>
      <c r="D140" s="201" t="s">
        <v>49</v>
      </c>
      <c r="E140" s="202">
        <v>2</v>
      </c>
      <c r="F140" s="203">
        <f>VLOOKUP(D140,'[1]טיפוסי דירה'!$B$1:$E$51,2,FALSE)</f>
        <v>4</v>
      </c>
      <c r="G140" s="147">
        <v>104</v>
      </c>
      <c r="H140" s="148">
        <f>VLOOKUP(D140,'[1]טיפוסי דירה'!$B$1:$E$51,4,FALSE)</f>
        <v>19.91</v>
      </c>
      <c r="I140" s="149">
        <v>5.9729999999999999</v>
      </c>
      <c r="J140" s="233">
        <v>5.39</v>
      </c>
      <c r="K140" s="163">
        <v>1</v>
      </c>
      <c r="L140" s="152">
        <f>(G140+I140+(J140*0.4)+(K140*2))*$O$4</f>
        <v>774479.39400000009</v>
      </c>
      <c r="M140" s="153"/>
      <c r="N140" s="154" t="s">
        <v>30</v>
      </c>
      <c r="O140" s="204">
        <v>17</v>
      </c>
      <c r="P140" s="86"/>
      <c r="Q140" s="108"/>
      <c r="T140" s="110"/>
    </row>
    <row r="141" spans="1:20" ht="15" customHeight="1" x14ac:dyDescent="0.3">
      <c r="A141" s="441" t="s">
        <v>44</v>
      </c>
      <c r="B141" s="201">
        <v>296</v>
      </c>
      <c r="C141" s="161">
        <v>10</v>
      </c>
      <c r="D141" s="201" t="s">
        <v>50</v>
      </c>
      <c r="E141" s="202">
        <v>2</v>
      </c>
      <c r="F141" s="203">
        <f>VLOOKUP(D141,'[1]טיפוסי דירה'!$B$1:$E$51,2,FALSE)</f>
        <v>4</v>
      </c>
      <c r="G141" s="147">
        <v>104.07</v>
      </c>
      <c r="H141" s="148">
        <f>VLOOKUP(D141,'[1]טיפוסי דירה'!$B$1:$E$51,4,FALSE)</f>
        <v>19.91</v>
      </c>
      <c r="I141" s="149">
        <v>5.9729999999999999</v>
      </c>
      <c r="J141" s="233">
        <v>5.0199999999999996</v>
      </c>
      <c r="K141" s="151">
        <v>1</v>
      </c>
      <c r="L141" s="152">
        <f>(G141+I141+(J141*0.4)+(K141*2))*$O$4</f>
        <v>773950.08599999989</v>
      </c>
      <c r="M141" s="153"/>
      <c r="N141" s="154" t="s">
        <v>30</v>
      </c>
      <c r="O141" s="204">
        <v>18</v>
      </c>
      <c r="P141" s="86"/>
      <c r="Q141" s="108"/>
      <c r="T141" s="110"/>
    </row>
    <row r="142" spans="1:20" ht="18.75" x14ac:dyDescent="0.3">
      <c r="A142" s="441"/>
      <c r="B142" s="201">
        <v>296</v>
      </c>
      <c r="C142" s="161">
        <v>11</v>
      </c>
      <c r="D142" s="201" t="s">
        <v>51</v>
      </c>
      <c r="E142" s="202">
        <v>2</v>
      </c>
      <c r="F142" s="203">
        <f>VLOOKUP(D142,'[1]טיפוסי דירה'!$B$1:$E$51,2,FALSE)</f>
        <v>3</v>
      </c>
      <c r="G142" s="147">
        <v>79.73</v>
      </c>
      <c r="H142" s="148">
        <v>14.05</v>
      </c>
      <c r="I142" s="149">
        <v>4.2149999999999999</v>
      </c>
      <c r="J142" s="233">
        <v>8.09</v>
      </c>
      <c r="K142" s="163">
        <v>1</v>
      </c>
      <c r="L142" s="152">
        <f>(G142+I142+(J142*0.4)+(K142*2))*$O$4</f>
        <v>605182.26600000006</v>
      </c>
      <c r="M142" s="153"/>
      <c r="N142" s="154" t="s">
        <v>30</v>
      </c>
      <c r="O142" s="204">
        <v>4</v>
      </c>
      <c r="P142" s="86"/>
      <c r="Q142" s="86"/>
      <c r="T142" s="110"/>
    </row>
    <row r="143" spans="1:20" customFormat="1" ht="15" customHeight="1" x14ac:dyDescent="0.3">
      <c r="A143" s="441"/>
      <c r="B143" s="136">
        <v>296</v>
      </c>
      <c r="C143" s="137">
        <v>12</v>
      </c>
      <c r="D143" s="136" t="s">
        <v>48</v>
      </c>
      <c r="E143" s="137">
        <v>3</v>
      </c>
      <c r="F143" s="200">
        <f>VLOOKUP(D143,'[1]טיפוסי דירה'!$B$1:$E$51,2,FALSE)</f>
        <v>5</v>
      </c>
      <c r="G143" s="138">
        <f>VLOOKUP(D143,'[1]טיפוסי דירה'!$B$1:$E$51,3,FALSE)</f>
        <v>125.62</v>
      </c>
      <c r="H143" s="139">
        <f>VLOOKUP(D143,'[1]טיפוסי דירה'!$B$1:$E$51,4,FALSE)</f>
        <v>22.25</v>
      </c>
      <c r="I143" s="140">
        <v>6.6749999999999998</v>
      </c>
      <c r="J143" s="230">
        <v>6.03</v>
      </c>
      <c r="K143" s="136">
        <v>2</v>
      </c>
      <c r="L143" s="142"/>
      <c r="M143" s="143"/>
      <c r="N143" s="160" t="s">
        <v>32</v>
      </c>
      <c r="O143" s="136">
        <v>22</v>
      </c>
      <c r="Q143" s="107"/>
    </row>
    <row r="144" spans="1:20" ht="15" customHeight="1" x14ac:dyDescent="0.3">
      <c r="A144" s="441"/>
      <c r="B144" s="201">
        <v>296</v>
      </c>
      <c r="C144" s="161">
        <v>13</v>
      </c>
      <c r="D144" s="201" t="s">
        <v>49</v>
      </c>
      <c r="E144" s="202">
        <v>3</v>
      </c>
      <c r="F144" s="203">
        <f>VLOOKUP(D144,'[1]טיפוסי דירה'!$B$1:$E$51,2,FALSE)</f>
        <v>4</v>
      </c>
      <c r="G144" s="147">
        <v>104</v>
      </c>
      <c r="H144" s="148">
        <f>VLOOKUP(D144,'[1]טיפוסי דירה'!$B$1:$E$51,4,FALSE)</f>
        <v>19.91</v>
      </c>
      <c r="I144" s="149">
        <v>5.9729999999999999</v>
      </c>
      <c r="J144" s="233">
        <v>5.59</v>
      </c>
      <c r="K144" s="163">
        <v>2</v>
      </c>
      <c r="L144" s="152">
        <f>(G144+I144+(J144*0.4)+(K144*2))*$O$4</f>
        <v>788594.27399999998</v>
      </c>
      <c r="M144" s="153"/>
      <c r="N144" s="154" t="s">
        <v>30</v>
      </c>
      <c r="O144" s="204">
        <v>19</v>
      </c>
      <c r="P144" s="86"/>
      <c r="Q144" s="108"/>
      <c r="T144" s="110"/>
    </row>
    <row r="145" spans="1:20" ht="15" customHeight="1" x14ac:dyDescent="0.3">
      <c r="A145" s="441"/>
      <c r="B145" s="201">
        <v>296</v>
      </c>
      <c r="C145" s="161">
        <v>14</v>
      </c>
      <c r="D145" s="201" t="s">
        <v>50</v>
      </c>
      <c r="E145" s="202">
        <v>3</v>
      </c>
      <c r="F145" s="203">
        <f>VLOOKUP(D145,'[1]טיפוסי דירה'!$B$1:$E$51,2,FALSE)</f>
        <v>4</v>
      </c>
      <c r="G145" s="147">
        <v>104.07</v>
      </c>
      <c r="H145" s="148">
        <f>VLOOKUP(D145,'[1]טיפוסי דירה'!$B$1:$E$51,4,FALSE)</f>
        <v>19.91</v>
      </c>
      <c r="I145" s="149">
        <v>5.9729999999999999</v>
      </c>
      <c r="J145" s="233">
        <v>6.04</v>
      </c>
      <c r="K145" s="151">
        <v>2</v>
      </c>
      <c r="L145" s="152">
        <f>(G145+I145+(J145*0.4)+(K145*2))*$O$4</f>
        <v>790290.77399999998</v>
      </c>
      <c r="M145" s="153"/>
      <c r="N145" s="154" t="s">
        <v>30</v>
      </c>
      <c r="O145" s="204">
        <v>21</v>
      </c>
      <c r="P145" s="86"/>
      <c r="Q145" s="108"/>
      <c r="T145" s="110"/>
    </row>
    <row r="146" spans="1:20" ht="18.75" x14ac:dyDescent="0.3">
      <c r="A146" s="441"/>
      <c r="B146" s="201">
        <v>296</v>
      </c>
      <c r="C146" s="161">
        <v>15</v>
      </c>
      <c r="D146" s="201" t="s">
        <v>51</v>
      </c>
      <c r="E146" s="202">
        <v>3</v>
      </c>
      <c r="F146" s="203">
        <f>VLOOKUP(D146,'[1]טיפוסי דירה'!$B$1:$E$51,2,FALSE)</f>
        <v>3</v>
      </c>
      <c r="G146" s="147">
        <v>79.73</v>
      </c>
      <c r="H146" s="148">
        <v>14.05</v>
      </c>
      <c r="I146" s="149">
        <v>4.2149999999999999</v>
      </c>
      <c r="J146" s="233">
        <v>7.42</v>
      </c>
      <c r="K146" s="163">
        <v>1</v>
      </c>
      <c r="L146" s="152">
        <f>(G146+I146+(J146*0.4)+(K146*2))*$O$4</f>
        <v>603363.61800000002</v>
      </c>
      <c r="M146" s="153"/>
      <c r="N146" s="154" t="s">
        <v>30</v>
      </c>
      <c r="O146" s="204">
        <v>6</v>
      </c>
      <c r="P146" s="86"/>
      <c r="Q146" s="86"/>
      <c r="T146" s="110"/>
    </row>
    <row r="147" spans="1:20" ht="18.75" x14ac:dyDescent="0.3">
      <c r="A147" s="441"/>
      <c r="B147" s="201">
        <v>296</v>
      </c>
      <c r="C147" s="161">
        <v>16</v>
      </c>
      <c r="D147" s="201" t="s">
        <v>48</v>
      </c>
      <c r="E147" s="202">
        <v>4</v>
      </c>
      <c r="F147" s="203">
        <f>VLOOKUP(D147,'[1]טיפוסי דירה'!$B$1:$E$51,2,FALSE)</f>
        <v>5</v>
      </c>
      <c r="G147" s="147">
        <v>125.66</v>
      </c>
      <c r="H147" s="148">
        <f>VLOOKUP(D147,'[1]טיפוסי דירה'!$B$1:$E$51,4,FALSE)</f>
        <v>22.25</v>
      </c>
      <c r="I147" s="149">
        <v>6.6749999999999998</v>
      </c>
      <c r="J147" s="233">
        <v>9.16</v>
      </c>
      <c r="K147" s="151">
        <v>2</v>
      </c>
      <c r="L147" s="152">
        <f>(G147+I147+(J147*0.4)+(K147*2))*$O$4-((G147-125)*0.15*$O$4)</f>
        <v>949361.39999999991</v>
      </c>
      <c r="M147" s="153"/>
      <c r="N147" s="154" t="s">
        <v>30</v>
      </c>
      <c r="O147" s="201">
        <v>1</v>
      </c>
      <c r="P147" s="86"/>
      <c r="Q147" s="87"/>
      <c r="T147" s="110"/>
    </row>
    <row r="148" spans="1:20" ht="18.75" x14ac:dyDescent="0.3">
      <c r="A148" s="441"/>
      <c r="B148" s="201">
        <v>296</v>
      </c>
      <c r="C148" s="161">
        <v>17</v>
      </c>
      <c r="D148" s="201" t="s">
        <v>49</v>
      </c>
      <c r="E148" s="202">
        <v>4</v>
      </c>
      <c r="F148" s="203">
        <f>VLOOKUP(D148,'[1]טיפוסי דירה'!$B$1:$E$51,2,FALSE)</f>
        <v>4</v>
      </c>
      <c r="G148" s="147">
        <v>104</v>
      </c>
      <c r="H148" s="148">
        <f>VLOOKUP(D148,'[1]טיפוסי דירה'!$B$1:$E$51,4,FALSE)</f>
        <v>19.91</v>
      </c>
      <c r="I148" s="149">
        <v>5.9729999999999999</v>
      </c>
      <c r="J148" s="233">
        <v>6.69</v>
      </c>
      <c r="K148" s="163">
        <v>2</v>
      </c>
      <c r="L148" s="152">
        <f>(G148+I148+(J148*0.4)+(K148*2))*$O$4</f>
        <v>791580.11400000006</v>
      </c>
      <c r="M148" s="153"/>
      <c r="N148" s="154" t="s">
        <v>30</v>
      </c>
      <c r="O148" s="201">
        <v>25</v>
      </c>
      <c r="P148" s="86"/>
      <c r="Q148" s="87"/>
      <c r="T148" s="110"/>
    </row>
    <row r="149" spans="1:20" ht="15" customHeight="1" x14ac:dyDescent="0.3">
      <c r="A149" s="441"/>
      <c r="B149" s="201">
        <v>296</v>
      </c>
      <c r="C149" s="161">
        <v>18</v>
      </c>
      <c r="D149" s="201" t="s">
        <v>50</v>
      </c>
      <c r="E149" s="202">
        <v>4</v>
      </c>
      <c r="F149" s="203">
        <f>VLOOKUP(D149,'[1]טיפוסי דירה'!$B$1:$E$51,2,FALSE)</f>
        <v>4</v>
      </c>
      <c r="G149" s="147">
        <v>104.07</v>
      </c>
      <c r="H149" s="148">
        <f>VLOOKUP(D149,'[1]טיפוסי דירה'!$B$1:$E$51,4,FALSE)</f>
        <v>19.91</v>
      </c>
      <c r="I149" s="149">
        <v>5.9729999999999999</v>
      </c>
      <c r="J149" s="233">
        <v>6.65</v>
      </c>
      <c r="K149" s="151">
        <v>2</v>
      </c>
      <c r="L149" s="152">
        <f>(G149+I149+(J149*0.4)+(K149*2))*$O$4</f>
        <v>791946.55799999996</v>
      </c>
      <c r="M149" s="153"/>
      <c r="N149" s="162" t="s">
        <v>30</v>
      </c>
      <c r="O149" s="201">
        <v>7</v>
      </c>
      <c r="P149" s="86"/>
      <c r="Q149" s="88"/>
      <c r="T149" s="110"/>
    </row>
    <row r="150" spans="1:20" customFormat="1" ht="15" customHeight="1" x14ac:dyDescent="0.3">
      <c r="A150" s="441"/>
      <c r="B150" s="136">
        <v>296</v>
      </c>
      <c r="C150" s="137">
        <v>19</v>
      </c>
      <c r="D150" s="136" t="s">
        <v>51</v>
      </c>
      <c r="E150" s="137">
        <v>4</v>
      </c>
      <c r="F150" s="200">
        <f>VLOOKUP(D150,'[1]טיפוסי דירה'!$B$1:$E$51,2,FALSE)</f>
        <v>3</v>
      </c>
      <c r="G150" s="138">
        <f>VLOOKUP(D150,'[1]טיפוסי דירה'!$B$1:$E$51,3,FALSE)</f>
        <v>79.7</v>
      </c>
      <c r="H150" s="139">
        <f>VLOOKUP(D150,'[1]טיפוסי דירה'!$B$1:$E$51,4,FALSE)</f>
        <v>14.06</v>
      </c>
      <c r="I150" s="140">
        <v>4.218</v>
      </c>
      <c r="J150" s="230">
        <v>5.86</v>
      </c>
      <c r="K150" s="144">
        <v>1</v>
      </c>
      <c r="L150" s="142"/>
      <c r="M150" s="143"/>
      <c r="N150" s="160" t="s">
        <v>32</v>
      </c>
      <c r="O150" s="136">
        <v>27</v>
      </c>
      <c r="Q150" s="7"/>
    </row>
    <row r="151" spans="1:20" ht="18.75" x14ac:dyDescent="0.3">
      <c r="A151" s="441"/>
      <c r="B151" s="201">
        <v>296</v>
      </c>
      <c r="C151" s="161">
        <v>20</v>
      </c>
      <c r="D151" s="201" t="s">
        <v>48</v>
      </c>
      <c r="E151" s="202">
        <v>5</v>
      </c>
      <c r="F151" s="203">
        <f>VLOOKUP(D151,'[1]טיפוסי דירה'!$B$1:$E$51,2,FALSE)</f>
        <v>5</v>
      </c>
      <c r="G151" s="147">
        <v>125.66</v>
      </c>
      <c r="H151" s="148">
        <f>VLOOKUP(D151,'[1]טיפוסי דירה'!$B$1:$E$51,4,FALSE)</f>
        <v>22.25</v>
      </c>
      <c r="I151" s="149">
        <v>6.6749999999999998</v>
      </c>
      <c r="J151" s="233">
        <v>7.03</v>
      </c>
      <c r="K151" s="151">
        <v>2</v>
      </c>
      <c r="L151" s="152">
        <f>(G151+I151+(J151*0.4)+(K151*2))*$O$4-((G151-125)*0.15*$O$4)</f>
        <v>943579.72800000012</v>
      </c>
      <c r="M151" s="153"/>
      <c r="N151" s="162" t="s">
        <v>30</v>
      </c>
      <c r="O151" s="201">
        <v>9</v>
      </c>
      <c r="P151" s="86"/>
      <c r="Q151" s="87"/>
      <c r="T151" s="110"/>
    </row>
    <row r="152" spans="1:20" customFormat="1" ht="15" customHeight="1" x14ac:dyDescent="0.3">
      <c r="A152" s="441"/>
      <c r="B152" s="244">
        <v>296</v>
      </c>
      <c r="C152" s="245">
        <v>21</v>
      </c>
      <c r="D152" s="244" t="s">
        <v>49</v>
      </c>
      <c r="E152" s="245">
        <v>5</v>
      </c>
      <c r="F152" s="246">
        <f>VLOOKUP(D152,'[1]טיפוסי דירה'!$B$1:$E$51,2,FALSE)</f>
        <v>4</v>
      </c>
      <c r="G152" s="247">
        <f>VLOOKUP(D152,'[1]טיפוסי דירה'!$B$1:$E$51,3,FALSE)</f>
        <v>104.15</v>
      </c>
      <c r="H152" s="248">
        <f>VLOOKUP(D152,'[1]טיפוסי דירה'!$B$1:$E$51,4,FALSE)</f>
        <v>19.91</v>
      </c>
      <c r="I152" s="249">
        <v>5.9729999999999999</v>
      </c>
      <c r="J152" s="250">
        <v>4.53</v>
      </c>
      <c r="K152" s="251">
        <v>2</v>
      </c>
      <c r="L152" s="252"/>
      <c r="M152" s="253"/>
      <c r="N152" s="254" t="s">
        <v>32</v>
      </c>
      <c r="O152" s="244">
        <v>3</v>
      </c>
      <c r="Q152" s="7"/>
    </row>
    <row r="153" spans="1:20" customFormat="1" ht="15" customHeight="1" x14ac:dyDescent="0.3">
      <c r="A153" s="441"/>
      <c r="B153" s="136">
        <v>296</v>
      </c>
      <c r="C153" s="137">
        <v>22</v>
      </c>
      <c r="D153" s="136" t="s">
        <v>50</v>
      </c>
      <c r="E153" s="137">
        <v>5</v>
      </c>
      <c r="F153" s="200">
        <f>VLOOKUP(D153,'[1]טיפוסי דירה'!$B$1:$E$51,2,FALSE)</f>
        <v>4</v>
      </c>
      <c r="G153" s="138">
        <f>VLOOKUP(D153,'[1]טיפוסי דירה'!$B$1:$E$51,3,FALSE)</f>
        <v>104.21</v>
      </c>
      <c r="H153" s="139">
        <f>VLOOKUP(D153,'[1]טיפוסי דירה'!$B$1:$E$51,4,FALSE)</f>
        <v>19.91</v>
      </c>
      <c r="I153" s="140">
        <v>5.9729999999999999</v>
      </c>
      <c r="J153" s="230">
        <v>5.01</v>
      </c>
      <c r="K153" s="136">
        <v>2</v>
      </c>
      <c r="L153" s="142"/>
      <c r="M153" s="143"/>
      <c r="N153" s="160" t="s">
        <v>32</v>
      </c>
      <c r="O153" s="136">
        <v>2</v>
      </c>
      <c r="Q153" s="7"/>
    </row>
    <row r="154" spans="1:20" customFormat="1" ht="15" customHeight="1" x14ac:dyDescent="0.3">
      <c r="A154" s="441"/>
      <c r="B154" s="136">
        <v>296</v>
      </c>
      <c r="C154" s="137">
        <v>23</v>
      </c>
      <c r="D154" s="136" t="s">
        <v>51</v>
      </c>
      <c r="E154" s="137">
        <v>5</v>
      </c>
      <c r="F154" s="200">
        <f>VLOOKUP(D154,'[1]טיפוסי דירה'!$B$1:$E$51,2,FALSE)</f>
        <v>3</v>
      </c>
      <c r="G154" s="138">
        <f>VLOOKUP(D154,'[1]טיפוסי דירה'!$B$1:$E$51,3,FALSE)</f>
        <v>79.7</v>
      </c>
      <c r="H154" s="139">
        <f>VLOOKUP(D154,'[1]טיפוסי דירה'!$B$1:$E$51,4,FALSE)</f>
        <v>14.06</v>
      </c>
      <c r="I154" s="140">
        <v>4.218</v>
      </c>
      <c r="J154" s="230">
        <v>5.87</v>
      </c>
      <c r="K154" s="144">
        <v>1</v>
      </c>
      <c r="L154" s="142"/>
      <c r="M154" s="143"/>
      <c r="N154" s="160" t="s">
        <v>32</v>
      </c>
      <c r="O154" s="136">
        <v>24</v>
      </c>
      <c r="Q154" s="7"/>
    </row>
    <row r="155" spans="1:20" ht="15" customHeight="1" x14ac:dyDescent="0.3">
      <c r="A155" s="441"/>
      <c r="B155" s="255">
        <v>296</v>
      </c>
      <c r="C155" s="256">
        <v>24</v>
      </c>
      <c r="D155" s="255" t="s">
        <v>48</v>
      </c>
      <c r="E155" s="257">
        <v>6</v>
      </c>
      <c r="F155" s="258">
        <f>VLOOKUP(D155,'[1]טיפוסי דירה'!$B$1:$E$51,2,FALSE)</f>
        <v>5</v>
      </c>
      <c r="G155" s="259">
        <v>125.66</v>
      </c>
      <c r="H155" s="260">
        <f>VLOOKUP(D155,'[1]טיפוסי דירה'!$B$1:$E$51,4,FALSE)</f>
        <v>22.25</v>
      </c>
      <c r="I155" s="261">
        <v>6.6749999999999998</v>
      </c>
      <c r="J155" s="262">
        <v>11.3</v>
      </c>
      <c r="K155" s="263">
        <v>2</v>
      </c>
      <c r="L155" s="152">
        <f>(G155+I155+(J155*0.4)+(K155*2))*$O$4-((G155-125)*0.15*$O$4)</f>
        <v>955170.21600000013</v>
      </c>
      <c r="M155" s="264"/>
      <c r="N155" s="265" t="s">
        <v>30</v>
      </c>
      <c r="O155" s="255">
        <v>8</v>
      </c>
      <c r="P155" s="86"/>
      <c r="Q155" s="87"/>
      <c r="T155" s="110"/>
    </row>
    <row r="156" spans="1:20" customFormat="1" ht="15" customHeight="1" x14ac:dyDescent="0.3">
      <c r="A156" s="441"/>
      <c r="B156" s="136">
        <v>296</v>
      </c>
      <c r="C156" s="137">
        <v>25</v>
      </c>
      <c r="D156" s="136" t="s">
        <v>49</v>
      </c>
      <c r="E156" s="137">
        <v>6</v>
      </c>
      <c r="F156" s="200">
        <f>VLOOKUP(D156,'[1]טיפוסי דירה'!$B$1:$E$51,2,FALSE)</f>
        <v>4</v>
      </c>
      <c r="G156" s="138">
        <f>VLOOKUP(D156,'[1]טיפוסי דירה'!$B$1:$E$51,3,FALSE)</f>
        <v>104.15</v>
      </c>
      <c r="H156" s="139">
        <f>VLOOKUP(D156,'[1]טיפוסי דירה'!$B$1:$E$51,4,FALSE)</f>
        <v>19.91</v>
      </c>
      <c r="I156" s="140">
        <v>5.9729999999999999</v>
      </c>
      <c r="J156" s="230">
        <v>7.2</v>
      </c>
      <c r="K156" s="144">
        <v>2</v>
      </c>
      <c r="L156" s="142"/>
      <c r="M156" s="143"/>
      <c r="N156" s="160" t="s">
        <v>32</v>
      </c>
      <c r="O156" s="136">
        <v>12</v>
      </c>
      <c r="Q156" s="7"/>
    </row>
    <row r="157" spans="1:20" customFormat="1" ht="15" customHeight="1" x14ac:dyDescent="0.3">
      <c r="A157" s="441"/>
      <c r="B157" s="136">
        <v>296</v>
      </c>
      <c r="C157" s="137">
        <v>26</v>
      </c>
      <c r="D157" s="136" t="s">
        <v>50</v>
      </c>
      <c r="E157" s="137">
        <v>6</v>
      </c>
      <c r="F157" s="200">
        <f>VLOOKUP(D157,'[1]טיפוסי דירה'!$B$1:$E$51,2,FALSE)</f>
        <v>4</v>
      </c>
      <c r="G157" s="138">
        <f>VLOOKUP(D157,'[1]טיפוסי דירה'!$B$1:$E$51,3,FALSE)</f>
        <v>104.21</v>
      </c>
      <c r="H157" s="139">
        <f>VLOOKUP(D157,'[1]טיפוסי דירה'!$B$1:$E$51,4,FALSE)</f>
        <v>19.91</v>
      </c>
      <c r="I157" s="140">
        <v>5.9729999999999999</v>
      </c>
      <c r="J157" s="230">
        <v>7.2</v>
      </c>
      <c r="K157" s="136">
        <v>2</v>
      </c>
      <c r="L157" s="142"/>
      <c r="M157" s="143"/>
      <c r="N157" s="160" t="s">
        <v>32</v>
      </c>
      <c r="O157" s="136">
        <v>13</v>
      </c>
      <c r="Q157" s="7"/>
    </row>
    <row r="158" spans="1:20" customFormat="1" ht="15" customHeight="1" x14ac:dyDescent="0.3">
      <c r="A158" s="441"/>
      <c r="B158" s="136">
        <v>296</v>
      </c>
      <c r="C158" s="137">
        <v>27</v>
      </c>
      <c r="D158" s="136" t="s">
        <v>51</v>
      </c>
      <c r="E158" s="137">
        <v>6</v>
      </c>
      <c r="F158" s="200">
        <f>VLOOKUP(D158,'[1]טיפוסי דירה'!$B$1:$E$51,2,FALSE)</f>
        <v>3</v>
      </c>
      <c r="G158" s="138">
        <f>VLOOKUP(D158,'[1]טיפוסי דירה'!$B$1:$E$51,3,FALSE)</f>
        <v>79.7</v>
      </c>
      <c r="H158" s="139">
        <f>VLOOKUP(D158,'[1]טיפוסי דירה'!$B$1:$E$51,4,FALSE)</f>
        <v>14.06</v>
      </c>
      <c r="I158" s="140">
        <v>4.218</v>
      </c>
      <c r="J158" s="230">
        <v>7.38</v>
      </c>
      <c r="K158" s="144">
        <v>1</v>
      </c>
      <c r="L158" s="142"/>
      <c r="M158" s="143"/>
      <c r="N158" s="160" t="s">
        <v>32</v>
      </c>
      <c r="O158" s="136">
        <v>14</v>
      </c>
      <c r="Q158" s="7"/>
    </row>
    <row r="159" spans="1:20" ht="15" customHeight="1" x14ac:dyDescent="0.3">
      <c r="A159" s="441"/>
      <c r="B159" s="201">
        <v>296</v>
      </c>
      <c r="C159" s="146">
        <v>28</v>
      </c>
      <c r="D159" s="201" t="s">
        <v>52</v>
      </c>
      <c r="E159" s="202">
        <v>7</v>
      </c>
      <c r="F159" s="203">
        <f>VLOOKUP(D159,'[1]טיפוסי דירה'!$B$1:$E$51,2,FALSE)</f>
        <v>6</v>
      </c>
      <c r="G159" s="147">
        <v>168.48</v>
      </c>
      <c r="H159" s="148">
        <v>74.66</v>
      </c>
      <c r="I159" s="149">
        <v>16.466000000000001</v>
      </c>
      <c r="J159" s="233">
        <v>6.69</v>
      </c>
      <c r="K159" s="151">
        <v>2</v>
      </c>
      <c r="L159" s="152">
        <f>(G159+I159+(J159*0.4)+(K159*2))*$O$4-((G159-145)*0.15*$O$4)</f>
        <v>1276446.6000000001</v>
      </c>
      <c r="M159" s="153"/>
      <c r="N159" s="154" t="s">
        <v>30</v>
      </c>
      <c r="O159" s="204">
        <v>29</v>
      </c>
      <c r="P159" s="86"/>
      <c r="Q159" s="87"/>
      <c r="T159" s="110"/>
    </row>
    <row r="160" spans="1:20" ht="15" customHeight="1" x14ac:dyDescent="0.3">
      <c r="A160" s="441"/>
      <c r="B160" s="201">
        <v>296</v>
      </c>
      <c r="C160" s="146">
        <v>29</v>
      </c>
      <c r="D160" s="201" t="s">
        <v>52</v>
      </c>
      <c r="E160" s="202">
        <v>7</v>
      </c>
      <c r="F160" s="203">
        <f>VLOOKUP(D160,'[1]טיפוסי דירה'!$B$1:$E$51,2,FALSE)</f>
        <v>6</v>
      </c>
      <c r="G160" s="147">
        <v>168.48</v>
      </c>
      <c r="H160" s="148">
        <v>74.66</v>
      </c>
      <c r="I160" s="149">
        <v>16.466000000000001</v>
      </c>
      <c r="J160" s="233">
        <v>6.2</v>
      </c>
      <c r="K160" s="151">
        <v>2</v>
      </c>
      <c r="L160" s="152">
        <f>(G160+I160+(J160*0.4)+(K160*2))*$O$4-((G160-145)*0.15*$O$4)</f>
        <v>1275116.544</v>
      </c>
      <c r="M160" s="153"/>
      <c r="N160" s="154" t="s">
        <v>30</v>
      </c>
      <c r="O160" s="204">
        <v>30</v>
      </c>
      <c r="P160" s="86"/>
      <c r="Q160" s="87"/>
      <c r="T160" s="110"/>
    </row>
    <row r="161" spans="1:20" customFormat="1" ht="15" customHeight="1" x14ac:dyDescent="0.3">
      <c r="A161" s="441"/>
      <c r="B161" s="136">
        <v>296</v>
      </c>
      <c r="C161" s="137">
        <v>30</v>
      </c>
      <c r="D161" s="136" t="s">
        <v>53</v>
      </c>
      <c r="E161" s="137">
        <v>8</v>
      </c>
      <c r="F161" s="200">
        <f>VLOOKUP(D161,'[1]טיפוסי דירה'!$B$1:$E$51,2,FALSE)</f>
        <v>5</v>
      </c>
      <c r="G161" s="138">
        <f>VLOOKUP(D161,'[1]טיפוסי דירה'!$B$1:$E$51,3,FALSE)</f>
        <v>147.15</v>
      </c>
      <c r="H161" s="139">
        <f>VLOOKUP(D161,'[1]טיפוסי דירה'!$B$1:$E$51,4,FALSE)</f>
        <v>43.27</v>
      </c>
      <c r="I161" s="140">
        <v>11.654</v>
      </c>
      <c r="J161" s="230">
        <v>12.35</v>
      </c>
      <c r="K161" s="136">
        <v>2</v>
      </c>
      <c r="L161" s="142"/>
      <c r="M161" s="143"/>
      <c r="N161" s="160" t="s">
        <v>32</v>
      </c>
      <c r="O161" s="136">
        <v>16</v>
      </c>
      <c r="Q161" s="7"/>
    </row>
    <row r="162" spans="1:20" customFormat="1" ht="15.75" customHeight="1" thickBot="1" x14ac:dyDescent="0.35">
      <c r="A162" s="450"/>
      <c r="B162" s="210">
        <v>296</v>
      </c>
      <c r="C162" s="211">
        <v>31</v>
      </c>
      <c r="D162" s="210" t="s">
        <v>53</v>
      </c>
      <c r="E162" s="211">
        <v>8</v>
      </c>
      <c r="F162" s="212">
        <f>VLOOKUP(D162,'[1]טיפוסי דירה'!$B$1:$E$51,2,FALSE)</f>
        <v>5</v>
      </c>
      <c r="G162" s="213">
        <f>VLOOKUP(D162,'[1]טיפוסי דירה'!$B$1:$E$51,3,FALSE)</f>
        <v>147.15</v>
      </c>
      <c r="H162" s="214">
        <f>VLOOKUP(D162,'[1]טיפוסי דירה'!$B$1:$E$51,4,FALSE)</f>
        <v>43.27</v>
      </c>
      <c r="I162" s="215">
        <v>11.654</v>
      </c>
      <c r="J162" s="236">
        <v>14.36</v>
      </c>
      <c r="K162" s="238">
        <v>2</v>
      </c>
      <c r="L162" s="177"/>
      <c r="M162" s="217"/>
      <c r="N162" s="225" t="s">
        <v>32</v>
      </c>
      <c r="O162" s="210">
        <v>15</v>
      </c>
      <c r="Q162" s="7"/>
    </row>
    <row r="163" spans="1:20" customFormat="1" ht="15.75" customHeight="1" thickBot="1" x14ac:dyDescent="0.35">
      <c r="A163" s="218" t="s">
        <v>40</v>
      </c>
      <c r="B163" s="219"/>
      <c r="C163" s="241"/>
      <c r="D163" s="219"/>
      <c r="E163" s="241"/>
      <c r="F163" s="219"/>
      <c r="G163" s="292">
        <f>SUMIF(N132:N162,"כן",G132:G162)/COUNTIF(N132:N162,"כן")</f>
        <v>113.15166666666669</v>
      </c>
      <c r="H163" s="220"/>
      <c r="I163" s="185">
        <v>0</v>
      </c>
      <c r="J163" s="186"/>
      <c r="K163" s="187"/>
      <c r="L163" s="186"/>
      <c r="M163" s="221"/>
      <c r="N163" s="295">
        <f>COUNTIF(N132:N162,"כן")/COUNT(C132:C162)</f>
        <v>0.58064516129032262</v>
      </c>
      <c r="O163" s="223"/>
      <c r="Q163" s="1"/>
    </row>
    <row r="164" spans="1:20" customFormat="1" ht="15" customHeight="1" x14ac:dyDescent="0.3">
      <c r="A164" s="453" t="s">
        <v>44</v>
      </c>
      <c r="B164" s="190">
        <v>297</v>
      </c>
      <c r="C164" s="191">
        <v>1</v>
      </c>
      <c r="D164" s="190" t="s">
        <v>45</v>
      </c>
      <c r="E164" s="191" t="s">
        <v>29</v>
      </c>
      <c r="F164" s="192">
        <f>VLOOKUP(D164,'[1]טיפוסי דירה'!$B$1:$E$51,2,FALSE)</f>
        <v>5</v>
      </c>
      <c r="G164" s="193">
        <f>VLOOKUP(D164,'[1]טיפוסי דירה'!$B$1:$E$51,3,FALSE)</f>
        <v>126.81</v>
      </c>
      <c r="H164" s="194">
        <v>126.98</v>
      </c>
      <c r="I164" s="195">
        <v>21</v>
      </c>
      <c r="J164" s="229">
        <v>5.87</v>
      </c>
      <c r="K164" s="190">
        <v>2</v>
      </c>
      <c r="L164" s="198"/>
      <c r="M164" s="240"/>
      <c r="N164" s="224" t="s">
        <v>32</v>
      </c>
      <c r="O164" s="197">
        <v>24</v>
      </c>
      <c r="Q164" s="2"/>
    </row>
    <row r="165" spans="1:20" customFormat="1" ht="15" customHeight="1" x14ac:dyDescent="0.3">
      <c r="A165" s="444"/>
      <c r="B165" s="136">
        <v>297</v>
      </c>
      <c r="C165" s="137">
        <v>2</v>
      </c>
      <c r="D165" s="136" t="s">
        <v>46</v>
      </c>
      <c r="E165" s="137" t="s">
        <v>29</v>
      </c>
      <c r="F165" s="200">
        <f>VLOOKUP(D165,'[1]טיפוסי דירה'!$B$1:$E$51,2,FALSE)</f>
        <v>4</v>
      </c>
      <c r="G165" s="138">
        <f>VLOOKUP(D165,'[1]טיפוסי דירה'!$B$1:$E$51,3,FALSE)</f>
        <v>104.15</v>
      </c>
      <c r="H165" s="139">
        <v>184.03</v>
      </c>
      <c r="I165" s="140">
        <v>21</v>
      </c>
      <c r="J165" s="230">
        <v>5.01</v>
      </c>
      <c r="K165" s="136">
        <v>2</v>
      </c>
      <c r="L165" s="142"/>
      <c r="M165" s="143"/>
      <c r="N165" s="160" t="s">
        <v>32</v>
      </c>
      <c r="O165" s="144">
        <v>2</v>
      </c>
      <c r="Q165" s="2"/>
    </row>
    <row r="166" spans="1:20" customFormat="1" ht="15" customHeight="1" x14ac:dyDescent="0.3">
      <c r="A166" s="444"/>
      <c r="B166" s="136">
        <v>297</v>
      </c>
      <c r="C166" s="137">
        <v>3</v>
      </c>
      <c r="D166" s="136" t="s">
        <v>47</v>
      </c>
      <c r="E166" s="137" t="s">
        <v>29</v>
      </c>
      <c r="F166" s="200">
        <f>VLOOKUP(D166,'[1]טיפוסי דירה'!$B$1:$E$51,2,FALSE)</f>
        <v>4</v>
      </c>
      <c r="G166" s="138">
        <f>VLOOKUP(D166,'[1]טיפוסי דירה'!$B$1:$E$51,3,FALSE)</f>
        <v>104.71</v>
      </c>
      <c r="H166" s="139">
        <v>177.92</v>
      </c>
      <c r="I166" s="140">
        <v>21</v>
      </c>
      <c r="J166" s="230">
        <v>4.53</v>
      </c>
      <c r="K166" s="136">
        <v>2</v>
      </c>
      <c r="L166" s="142"/>
      <c r="M166" s="143"/>
      <c r="N166" s="160" t="s">
        <v>32</v>
      </c>
      <c r="O166" s="136">
        <v>3</v>
      </c>
      <c r="Q166" s="7"/>
    </row>
    <row r="167" spans="1:20" ht="18.75" x14ac:dyDescent="0.3">
      <c r="A167" s="444"/>
      <c r="B167" s="201">
        <v>297</v>
      </c>
      <c r="C167" s="146">
        <v>4</v>
      </c>
      <c r="D167" s="201" t="s">
        <v>48</v>
      </c>
      <c r="E167" s="202">
        <v>1</v>
      </c>
      <c r="F167" s="203">
        <f>VLOOKUP(D167,'[1]טיפוסי דירה'!$B$1:$E$51,2,FALSE)</f>
        <v>5</v>
      </c>
      <c r="G167" s="147">
        <v>125.66</v>
      </c>
      <c r="H167" s="148">
        <f>VLOOKUP(D167,'[1]טיפוסי דירה'!$B$1:$E$51,4,FALSE)</f>
        <v>22.25</v>
      </c>
      <c r="I167" s="149">
        <v>6.6749999999999998</v>
      </c>
      <c r="J167" s="233">
        <v>8.09</v>
      </c>
      <c r="K167" s="145">
        <v>2</v>
      </c>
      <c r="L167" s="152">
        <f>(G167+I167+(J167*0.4)+(K167*2))*$O$4-((G167-125)*0.15*$O$4)</f>
        <v>946456.99199999997</v>
      </c>
      <c r="M167" s="153"/>
      <c r="N167" s="154" t="s">
        <v>30</v>
      </c>
      <c r="O167" s="155">
        <v>4</v>
      </c>
      <c r="P167" s="86"/>
      <c r="Q167" s="87"/>
      <c r="T167" s="110"/>
    </row>
    <row r="168" spans="1:20" customFormat="1" ht="15" customHeight="1" x14ac:dyDescent="0.3">
      <c r="A168" s="444"/>
      <c r="B168" s="136">
        <v>297</v>
      </c>
      <c r="C168" s="137">
        <v>5</v>
      </c>
      <c r="D168" s="136" t="s">
        <v>49</v>
      </c>
      <c r="E168" s="137">
        <v>1</v>
      </c>
      <c r="F168" s="200">
        <f>VLOOKUP(D168,'[1]טיפוסי דירה'!$B$1:$E$51,2,FALSE)</f>
        <v>4</v>
      </c>
      <c r="G168" s="138">
        <f>VLOOKUP(D168,'[1]טיפוסי דירה'!$B$1:$E$51,3,FALSE)</f>
        <v>104.15</v>
      </c>
      <c r="H168" s="139">
        <f>VLOOKUP(D168,'[1]טיפוסי דירה'!$B$1:$E$51,4,FALSE)</f>
        <v>19.91</v>
      </c>
      <c r="I168" s="140">
        <v>5.9729999999999999</v>
      </c>
      <c r="J168" s="230">
        <v>5.28</v>
      </c>
      <c r="K168" s="136">
        <v>2</v>
      </c>
      <c r="L168" s="142"/>
      <c r="M168" s="143"/>
      <c r="N168" s="160" t="s">
        <v>32</v>
      </c>
      <c r="O168" s="144">
        <v>5</v>
      </c>
      <c r="Q168" s="2"/>
    </row>
    <row r="169" spans="1:20" ht="18.75" x14ac:dyDescent="0.3">
      <c r="A169" s="444"/>
      <c r="B169" s="201">
        <v>297</v>
      </c>
      <c r="C169" s="146">
        <v>6</v>
      </c>
      <c r="D169" s="201" t="s">
        <v>50</v>
      </c>
      <c r="E169" s="202">
        <v>1</v>
      </c>
      <c r="F169" s="203">
        <f>VLOOKUP(D169,'[1]טיפוסי דירה'!$B$1:$E$51,2,FALSE)</f>
        <v>4</v>
      </c>
      <c r="G169" s="147">
        <v>104.07</v>
      </c>
      <c r="H169" s="148">
        <f>VLOOKUP(D169,'[1]טיפוסי דירה'!$B$1:$E$51,4,FALSE)</f>
        <v>19.91</v>
      </c>
      <c r="I169" s="149">
        <v>5.9729999999999999</v>
      </c>
      <c r="J169" s="233">
        <v>7.42</v>
      </c>
      <c r="K169" s="145">
        <v>2</v>
      </c>
      <c r="L169" s="152">
        <f>(G169+I169+(J169*0.4)+(K169*2))*$O$4</f>
        <v>794036.64599999995</v>
      </c>
      <c r="M169" s="153"/>
      <c r="N169" s="154" t="s">
        <v>30</v>
      </c>
      <c r="O169" s="155">
        <v>6</v>
      </c>
      <c r="P169" s="86"/>
      <c r="Q169" s="86"/>
      <c r="T169" s="110"/>
    </row>
    <row r="170" spans="1:20" ht="15" customHeight="1" x14ac:dyDescent="0.3">
      <c r="A170" s="444"/>
      <c r="B170" s="201">
        <v>297</v>
      </c>
      <c r="C170" s="146">
        <v>7</v>
      </c>
      <c r="D170" s="201" t="s">
        <v>51</v>
      </c>
      <c r="E170" s="202">
        <v>1</v>
      </c>
      <c r="F170" s="203">
        <f>VLOOKUP(D170,'[1]טיפוסי דירה'!$B$1:$E$51,2,FALSE)</f>
        <v>3</v>
      </c>
      <c r="G170" s="147">
        <v>79.73</v>
      </c>
      <c r="H170" s="148">
        <v>14.05</v>
      </c>
      <c r="I170" s="149">
        <v>4.2149999999999999</v>
      </c>
      <c r="J170" s="233">
        <v>6.65</v>
      </c>
      <c r="K170" s="145">
        <v>1</v>
      </c>
      <c r="L170" s="152">
        <f>(G170+I170+(J170*0.4)+(K170*2))*$O$4</f>
        <v>601273.53</v>
      </c>
      <c r="M170" s="153"/>
      <c r="N170" s="154" t="s">
        <v>30</v>
      </c>
      <c r="O170" s="155">
        <v>7</v>
      </c>
      <c r="P170" s="86"/>
      <c r="Q170" s="86"/>
      <c r="T170" s="110"/>
    </row>
    <row r="171" spans="1:20" ht="15" customHeight="1" x14ac:dyDescent="0.3">
      <c r="A171" s="444"/>
      <c r="B171" s="201">
        <v>297</v>
      </c>
      <c r="C171" s="146">
        <v>8</v>
      </c>
      <c r="D171" s="201" t="s">
        <v>48</v>
      </c>
      <c r="E171" s="202">
        <v>2</v>
      </c>
      <c r="F171" s="203">
        <f>VLOOKUP(D171,'[1]טיפוסי דירה'!$B$1:$E$51,2,FALSE)</f>
        <v>5</v>
      </c>
      <c r="G171" s="147">
        <v>125.66</v>
      </c>
      <c r="H171" s="148">
        <f>VLOOKUP(D171,'[1]טיפוסי דירה'!$B$1:$E$51,4,FALSE)</f>
        <v>22.25</v>
      </c>
      <c r="I171" s="149">
        <v>6.6749999999999998</v>
      </c>
      <c r="J171" s="233">
        <v>11.3</v>
      </c>
      <c r="K171" s="145">
        <v>2</v>
      </c>
      <c r="L171" s="152">
        <f>(G171+I171+(J171*0.4)+(K171*2))*$O$4-((G171-125)*0.15*$O$4)</f>
        <v>955170.21600000013</v>
      </c>
      <c r="M171" s="153"/>
      <c r="N171" s="154" t="s">
        <v>30</v>
      </c>
      <c r="O171" s="155">
        <v>8</v>
      </c>
      <c r="P171" s="86"/>
      <c r="Q171" s="87"/>
      <c r="T171" s="110"/>
    </row>
    <row r="172" spans="1:20" ht="15" customHeight="1" x14ac:dyDescent="0.3">
      <c r="A172" s="444"/>
      <c r="B172" s="201">
        <v>297</v>
      </c>
      <c r="C172" s="146">
        <v>9</v>
      </c>
      <c r="D172" s="201" t="s">
        <v>49</v>
      </c>
      <c r="E172" s="202">
        <v>2</v>
      </c>
      <c r="F172" s="203">
        <f>VLOOKUP(D172,'[1]טיפוסי דירה'!$B$1:$E$51,2,FALSE)</f>
        <v>4</v>
      </c>
      <c r="G172" s="147">
        <v>104</v>
      </c>
      <c r="H172" s="148">
        <f>VLOOKUP(D172,'[1]טיפוסי דירה'!$B$1:$E$51,4,FALSE)</f>
        <v>19.91</v>
      </c>
      <c r="I172" s="149">
        <v>5.9729999999999999</v>
      </c>
      <c r="J172" s="233">
        <v>12.34</v>
      </c>
      <c r="K172" s="145">
        <v>2</v>
      </c>
      <c r="L172" s="152">
        <f>(G172+I172+(J172*0.4)+(K172*2))*$O$4</f>
        <v>806916.47399999993</v>
      </c>
      <c r="M172" s="153"/>
      <c r="N172" s="154" t="s">
        <v>30</v>
      </c>
      <c r="O172" s="155">
        <v>16</v>
      </c>
      <c r="P172" s="86"/>
      <c r="Q172" s="86"/>
      <c r="T172" s="110"/>
    </row>
    <row r="173" spans="1:20" ht="18.75" x14ac:dyDescent="0.3">
      <c r="A173" s="444"/>
      <c r="B173" s="201">
        <v>297</v>
      </c>
      <c r="C173" s="146">
        <v>10</v>
      </c>
      <c r="D173" s="201" t="s">
        <v>50</v>
      </c>
      <c r="E173" s="202">
        <v>2</v>
      </c>
      <c r="F173" s="203">
        <f>VLOOKUP(D173,'[1]טיפוסי דירה'!$B$1:$E$51,2,FALSE)</f>
        <v>4</v>
      </c>
      <c r="G173" s="147">
        <v>104.07</v>
      </c>
      <c r="H173" s="148">
        <f>VLOOKUP(D173,'[1]טיפוסי דירה'!$B$1:$E$51,4,FALSE)</f>
        <v>19.91</v>
      </c>
      <c r="I173" s="149">
        <v>5.9729999999999999</v>
      </c>
      <c r="J173" s="233">
        <v>11.44</v>
      </c>
      <c r="K173" s="145">
        <v>1</v>
      </c>
      <c r="L173" s="152">
        <f>(G173+I173+(J173*0.4)+(K173*2))*$O$4</f>
        <v>791376.53399999987</v>
      </c>
      <c r="M173" s="153"/>
      <c r="N173" s="154" t="s">
        <v>30</v>
      </c>
      <c r="O173" s="155">
        <v>10</v>
      </c>
      <c r="P173" s="86"/>
      <c r="Q173" s="86"/>
      <c r="T173" s="110"/>
    </row>
    <row r="174" spans="1:20" ht="15" customHeight="1" x14ac:dyDescent="0.3">
      <c r="A174" s="444"/>
      <c r="B174" s="201">
        <v>297</v>
      </c>
      <c r="C174" s="146">
        <v>11</v>
      </c>
      <c r="D174" s="201" t="s">
        <v>51</v>
      </c>
      <c r="E174" s="202">
        <v>2</v>
      </c>
      <c r="F174" s="203">
        <f>VLOOKUP(D174,'[1]טיפוסי דירה'!$B$1:$E$51,2,FALSE)</f>
        <v>3</v>
      </c>
      <c r="G174" s="147">
        <v>79.73</v>
      </c>
      <c r="H174" s="148">
        <v>14.05</v>
      </c>
      <c r="I174" s="149">
        <v>4.2149999999999999</v>
      </c>
      <c r="J174" s="233">
        <v>7.34</v>
      </c>
      <c r="K174" s="145">
        <v>1</v>
      </c>
      <c r="L174" s="152">
        <f>(G174+I174+(J174*0.4)+(K174*2))*$O$4</f>
        <v>603146.46600000001</v>
      </c>
      <c r="M174" s="153"/>
      <c r="N174" s="154" t="s">
        <v>30</v>
      </c>
      <c r="O174" s="155">
        <v>11</v>
      </c>
      <c r="P174" s="86"/>
      <c r="Q174" s="86"/>
      <c r="T174" s="110"/>
    </row>
    <row r="175" spans="1:20" customFormat="1" ht="15" customHeight="1" x14ac:dyDescent="0.3">
      <c r="A175" s="444"/>
      <c r="B175" s="136">
        <v>297</v>
      </c>
      <c r="C175" s="137">
        <v>12</v>
      </c>
      <c r="D175" s="136" t="s">
        <v>48</v>
      </c>
      <c r="E175" s="137">
        <v>3</v>
      </c>
      <c r="F175" s="200">
        <f>VLOOKUP(D175,'[1]טיפוסי דירה'!$B$1:$E$51,2,FALSE)</f>
        <v>5</v>
      </c>
      <c r="G175" s="138">
        <f>VLOOKUP(D175,'[1]טיפוסי דירה'!$B$1:$E$51,3,FALSE)</f>
        <v>125.62</v>
      </c>
      <c r="H175" s="139">
        <f>VLOOKUP(D175,'[1]טיפוסי דירה'!$B$1:$E$51,4,FALSE)</f>
        <v>22.25</v>
      </c>
      <c r="I175" s="140">
        <v>6.6749999999999998</v>
      </c>
      <c r="J175" s="230">
        <v>7.2</v>
      </c>
      <c r="K175" s="136">
        <v>2</v>
      </c>
      <c r="L175" s="142"/>
      <c r="M175" s="206"/>
      <c r="N175" s="160" t="s">
        <v>32</v>
      </c>
      <c r="O175" s="144">
        <v>12</v>
      </c>
      <c r="Q175" s="2"/>
    </row>
    <row r="176" spans="1:20" ht="15" customHeight="1" x14ac:dyDescent="0.3">
      <c r="A176" s="444"/>
      <c r="B176" s="201">
        <v>297</v>
      </c>
      <c r="C176" s="146">
        <v>13</v>
      </c>
      <c r="D176" s="201" t="s">
        <v>49</v>
      </c>
      <c r="E176" s="202">
        <v>3</v>
      </c>
      <c r="F176" s="203">
        <f>VLOOKUP(D176,'[1]טיפוסי דירה'!$B$1:$E$51,2,FALSE)</f>
        <v>4</v>
      </c>
      <c r="G176" s="147">
        <v>104</v>
      </c>
      <c r="H176" s="148">
        <f>VLOOKUP(D176,'[1]טיפוסי דירה'!$B$1:$E$51,4,FALSE)</f>
        <v>19.91</v>
      </c>
      <c r="I176" s="149">
        <v>5.9729999999999999</v>
      </c>
      <c r="J176" s="233">
        <v>7.19</v>
      </c>
      <c r="K176" s="145">
        <v>2</v>
      </c>
      <c r="L176" s="152">
        <f>(G176+I176+(J176*0.4)+(K176*2))*$O$4</f>
        <v>792937.31400000001</v>
      </c>
      <c r="M176" s="153"/>
      <c r="N176" s="154" t="s">
        <v>30</v>
      </c>
      <c r="O176" s="155">
        <v>13</v>
      </c>
      <c r="P176" s="86"/>
      <c r="Q176" s="86"/>
      <c r="T176" s="110"/>
    </row>
    <row r="177" spans="1:20" ht="18.75" x14ac:dyDescent="0.3">
      <c r="A177" s="444"/>
      <c r="B177" s="201">
        <v>297</v>
      </c>
      <c r="C177" s="146">
        <v>14</v>
      </c>
      <c r="D177" s="201" t="s">
        <v>50</v>
      </c>
      <c r="E177" s="202">
        <v>3</v>
      </c>
      <c r="F177" s="203">
        <f>VLOOKUP(D177,'[1]טיפוסי דירה'!$B$1:$E$51,2,FALSE)</f>
        <v>4</v>
      </c>
      <c r="G177" s="147">
        <v>104.07</v>
      </c>
      <c r="H177" s="148">
        <f>VLOOKUP(D177,'[1]טיפוסי דירה'!$B$1:$E$51,4,FALSE)</f>
        <v>19.91</v>
      </c>
      <c r="I177" s="149">
        <v>5.9729999999999999</v>
      </c>
      <c r="J177" s="233">
        <v>7.38</v>
      </c>
      <c r="K177" s="145">
        <v>2</v>
      </c>
      <c r="L177" s="152">
        <f>(G177+I177+(J177*0.4)+(K177*2))*$O$4</f>
        <v>793928.07</v>
      </c>
      <c r="M177" s="153"/>
      <c r="N177" s="154" t="s">
        <v>30</v>
      </c>
      <c r="O177" s="155">
        <v>14</v>
      </c>
      <c r="P177" s="86"/>
      <c r="Q177" s="86"/>
      <c r="T177" s="110"/>
    </row>
    <row r="178" spans="1:20" ht="15" customHeight="1" x14ac:dyDescent="0.3">
      <c r="A178" s="444"/>
      <c r="B178" s="201">
        <v>297</v>
      </c>
      <c r="C178" s="146">
        <v>15</v>
      </c>
      <c r="D178" s="201" t="s">
        <v>51</v>
      </c>
      <c r="E178" s="202">
        <v>3</v>
      </c>
      <c r="F178" s="203">
        <f>VLOOKUP(D178,'[1]טיפוסי דירה'!$B$1:$E$51,2,FALSE)</f>
        <v>3</v>
      </c>
      <c r="G178" s="147">
        <v>79.73</v>
      </c>
      <c r="H178" s="148">
        <v>14.05</v>
      </c>
      <c r="I178" s="149">
        <v>4.2149999999999999</v>
      </c>
      <c r="J178" s="233">
        <v>14.35</v>
      </c>
      <c r="K178" s="145">
        <v>1</v>
      </c>
      <c r="L178" s="152">
        <f>(G178+I178+(J178*0.4)+(K178*2))*$O$4</f>
        <v>622174.41</v>
      </c>
      <c r="M178" s="153"/>
      <c r="N178" s="154" t="s">
        <v>30</v>
      </c>
      <c r="O178" s="155">
        <v>15</v>
      </c>
      <c r="P178" s="86"/>
      <c r="Q178" s="86"/>
      <c r="T178" s="110"/>
    </row>
    <row r="179" spans="1:20" ht="18.75" x14ac:dyDescent="0.3">
      <c r="A179" s="444"/>
      <c r="B179" s="201">
        <v>297</v>
      </c>
      <c r="C179" s="161">
        <v>16</v>
      </c>
      <c r="D179" s="201" t="s">
        <v>48</v>
      </c>
      <c r="E179" s="202">
        <v>4</v>
      </c>
      <c r="F179" s="203">
        <f>VLOOKUP(D179,'[1]טיפוסי דירה'!$B$1:$E$51,2,FALSE)</f>
        <v>5</v>
      </c>
      <c r="G179" s="147">
        <v>125.66</v>
      </c>
      <c r="H179" s="148">
        <f>VLOOKUP(D179,'[1]טיפוסי דירה'!$B$1:$E$51,4,FALSE)</f>
        <v>22.25</v>
      </c>
      <c r="I179" s="149">
        <v>6.6749999999999998</v>
      </c>
      <c r="J179" s="233">
        <v>7.03</v>
      </c>
      <c r="K179" s="151">
        <v>2</v>
      </c>
      <c r="L179" s="152">
        <f>(G179+I179+(J179*0.4)+(K179*2))*$O$4-((G179-125)*0.15*$O$4)</f>
        <v>943579.72800000012</v>
      </c>
      <c r="M179" s="153"/>
      <c r="N179" s="162" t="s">
        <v>30</v>
      </c>
      <c r="O179" s="163">
        <v>9</v>
      </c>
      <c r="P179" s="86"/>
      <c r="Q179" s="87"/>
      <c r="T179" s="110"/>
    </row>
    <row r="180" spans="1:20" customFormat="1" ht="15" customHeight="1" x14ac:dyDescent="0.3">
      <c r="A180" s="444"/>
      <c r="B180" s="136">
        <v>297</v>
      </c>
      <c r="C180" s="137">
        <v>17</v>
      </c>
      <c r="D180" s="136" t="s">
        <v>49</v>
      </c>
      <c r="E180" s="137">
        <v>4</v>
      </c>
      <c r="F180" s="200">
        <f>VLOOKUP(D180,'[1]טיפוסי דירה'!$B$1:$E$51,2,FALSE)</f>
        <v>4</v>
      </c>
      <c r="G180" s="138">
        <f>VLOOKUP(D180,'[1]טיפוסי דירה'!$B$1:$E$51,3,FALSE)</f>
        <v>104.15</v>
      </c>
      <c r="H180" s="139">
        <f>VLOOKUP(D180,'[1]טיפוסי דירה'!$B$1:$E$51,4,FALSE)</f>
        <v>19.91</v>
      </c>
      <c r="I180" s="140">
        <v>5.9729999999999999</v>
      </c>
      <c r="J180" s="230">
        <v>5.4</v>
      </c>
      <c r="K180" s="136">
        <v>1</v>
      </c>
      <c r="L180" s="142"/>
      <c r="M180" s="143"/>
      <c r="N180" s="160" t="s">
        <v>32</v>
      </c>
      <c r="O180" s="144">
        <v>17</v>
      </c>
      <c r="Q180" s="2"/>
    </row>
    <row r="181" spans="1:20" customFormat="1" ht="15" customHeight="1" x14ac:dyDescent="0.3">
      <c r="A181" s="444"/>
      <c r="B181" s="136">
        <v>297</v>
      </c>
      <c r="C181" s="137">
        <v>18</v>
      </c>
      <c r="D181" s="136" t="s">
        <v>50</v>
      </c>
      <c r="E181" s="137">
        <v>4</v>
      </c>
      <c r="F181" s="200">
        <f>VLOOKUP(D181,'[1]טיפוסי דירה'!$B$1:$E$51,2,FALSE)</f>
        <v>4</v>
      </c>
      <c r="G181" s="138">
        <f>VLOOKUP(D181,'[1]טיפוסי דירה'!$B$1:$E$51,3,FALSE)</f>
        <v>104.21</v>
      </c>
      <c r="H181" s="139">
        <f>VLOOKUP(D181,'[1]טיפוסי דירה'!$B$1:$E$51,4,FALSE)</f>
        <v>19.91</v>
      </c>
      <c r="I181" s="140">
        <v>5.9729999999999999</v>
      </c>
      <c r="J181" s="230">
        <v>5.01</v>
      </c>
      <c r="K181" s="136">
        <v>1</v>
      </c>
      <c r="L181" s="142"/>
      <c r="M181" s="143"/>
      <c r="N181" s="160" t="s">
        <v>32</v>
      </c>
      <c r="O181" s="144">
        <v>18</v>
      </c>
      <c r="Q181" s="2"/>
    </row>
    <row r="182" spans="1:20" customFormat="1" ht="15" customHeight="1" x14ac:dyDescent="0.3">
      <c r="A182" s="444"/>
      <c r="B182" s="136">
        <v>297</v>
      </c>
      <c r="C182" s="137">
        <v>19</v>
      </c>
      <c r="D182" s="136" t="s">
        <v>51</v>
      </c>
      <c r="E182" s="137">
        <v>4</v>
      </c>
      <c r="F182" s="200">
        <f>VLOOKUP(D182,'[1]טיפוסי דירה'!$B$1:$E$51,2,FALSE)</f>
        <v>3</v>
      </c>
      <c r="G182" s="138">
        <f>VLOOKUP(D182,'[1]טיפוסי דירה'!$B$1:$E$51,3,FALSE)</f>
        <v>79.7</v>
      </c>
      <c r="H182" s="139">
        <f>VLOOKUP(D182,'[1]טיפוסי דירה'!$B$1:$E$51,4,FALSE)</f>
        <v>14.06</v>
      </c>
      <c r="I182" s="140">
        <v>4.218</v>
      </c>
      <c r="J182" s="230">
        <v>5.6</v>
      </c>
      <c r="K182" s="136">
        <v>1</v>
      </c>
      <c r="L182" s="142"/>
      <c r="M182" s="143"/>
      <c r="N182" s="160" t="s">
        <v>32</v>
      </c>
      <c r="O182" s="144">
        <v>19</v>
      </c>
      <c r="Q182" s="47"/>
    </row>
    <row r="183" spans="1:20" customFormat="1" ht="15" customHeight="1" x14ac:dyDescent="0.3">
      <c r="A183" s="444"/>
      <c r="B183" s="136">
        <v>297</v>
      </c>
      <c r="C183" s="137">
        <v>20</v>
      </c>
      <c r="D183" s="136" t="s">
        <v>48</v>
      </c>
      <c r="E183" s="137">
        <v>5</v>
      </c>
      <c r="F183" s="200">
        <f>VLOOKUP(D183,'[1]טיפוסי דירה'!$B$1:$E$51,2,FALSE)</f>
        <v>5</v>
      </c>
      <c r="G183" s="138">
        <f>VLOOKUP(D183,'[1]טיפוסי דירה'!$B$1:$E$51,3,FALSE)</f>
        <v>125.62</v>
      </c>
      <c r="H183" s="139">
        <f>VLOOKUP(D183,'[1]טיפוסי דירה'!$B$1:$E$51,4,FALSE)</f>
        <v>22.25</v>
      </c>
      <c r="I183" s="140">
        <v>6.6749999999999998</v>
      </c>
      <c r="J183" s="230">
        <v>6.34</v>
      </c>
      <c r="K183" s="136">
        <v>2</v>
      </c>
      <c r="L183" s="142"/>
      <c r="M183" s="206"/>
      <c r="N183" s="160" t="s">
        <v>32</v>
      </c>
      <c r="O183" s="144">
        <v>20</v>
      </c>
      <c r="Q183" s="2"/>
    </row>
    <row r="184" spans="1:20" customFormat="1" ht="15" customHeight="1" x14ac:dyDescent="0.3">
      <c r="A184" s="444"/>
      <c r="B184" s="136">
        <v>297</v>
      </c>
      <c r="C184" s="137">
        <v>21</v>
      </c>
      <c r="D184" s="136" t="s">
        <v>49</v>
      </c>
      <c r="E184" s="137">
        <v>5</v>
      </c>
      <c r="F184" s="200">
        <f>VLOOKUP(D184,'[1]טיפוסי דירה'!$B$1:$E$51,2,FALSE)</f>
        <v>4</v>
      </c>
      <c r="G184" s="138">
        <f>VLOOKUP(D184,'[1]טיפוסי דירה'!$B$1:$E$51,3,FALSE)</f>
        <v>104.15</v>
      </c>
      <c r="H184" s="139">
        <f>VLOOKUP(D184,'[1]טיפוסי דירה'!$B$1:$E$51,4,FALSE)</f>
        <v>19.91</v>
      </c>
      <c r="I184" s="140">
        <v>5.9729999999999999</v>
      </c>
      <c r="J184" s="230">
        <v>6.04</v>
      </c>
      <c r="K184" s="136">
        <v>1</v>
      </c>
      <c r="L184" s="142"/>
      <c r="M184" s="143"/>
      <c r="N184" s="160" t="s">
        <v>32</v>
      </c>
      <c r="O184" s="144">
        <v>21</v>
      </c>
      <c r="Q184" s="2"/>
    </row>
    <row r="185" spans="1:20" customFormat="1" ht="15" customHeight="1" x14ac:dyDescent="0.3">
      <c r="A185" s="444"/>
      <c r="B185" s="136">
        <v>297</v>
      </c>
      <c r="C185" s="137">
        <v>22</v>
      </c>
      <c r="D185" s="136" t="s">
        <v>50</v>
      </c>
      <c r="E185" s="137">
        <v>5</v>
      </c>
      <c r="F185" s="200">
        <f>VLOOKUP(D185,'[1]טיפוסי דירה'!$B$1:$E$51,2,FALSE)</f>
        <v>4</v>
      </c>
      <c r="G185" s="138">
        <f>VLOOKUP(D185,'[1]טיפוסי דירה'!$B$1:$E$51,3,FALSE)</f>
        <v>104.21</v>
      </c>
      <c r="H185" s="139">
        <f>VLOOKUP(D185,'[1]טיפוסי דירה'!$B$1:$E$51,4,FALSE)</f>
        <v>19.91</v>
      </c>
      <c r="I185" s="140">
        <v>5.9729999999999999</v>
      </c>
      <c r="J185" s="230">
        <v>6.03</v>
      </c>
      <c r="K185" s="136">
        <v>2</v>
      </c>
      <c r="L185" s="142"/>
      <c r="M185" s="143"/>
      <c r="N185" s="160" t="s">
        <v>32</v>
      </c>
      <c r="O185" s="144">
        <v>22</v>
      </c>
      <c r="Q185" s="2"/>
    </row>
    <row r="186" spans="1:20" customFormat="1" ht="15" customHeight="1" x14ac:dyDescent="0.3">
      <c r="A186" s="444"/>
      <c r="B186" s="136">
        <v>297</v>
      </c>
      <c r="C186" s="137">
        <v>23</v>
      </c>
      <c r="D186" s="136" t="s">
        <v>51</v>
      </c>
      <c r="E186" s="137">
        <v>5</v>
      </c>
      <c r="F186" s="200">
        <f>VLOOKUP(D186,'[1]טיפוסי דירה'!$B$1:$E$51,2,FALSE)</f>
        <v>3</v>
      </c>
      <c r="G186" s="138">
        <f>VLOOKUP(D186,'[1]טיפוסי דירה'!$B$1:$E$51,3,FALSE)</f>
        <v>79.7</v>
      </c>
      <c r="H186" s="139">
        <f>VLOOKUP(D186,'[1]טיפוסי דירה'!$B$1:$E$51,4,FALSE)</f>
        <v>14.06</v>
      </c>
      <c r="I186" s="140">
        <v>4.218</v>
      </c>
      <c r="J186" s="230">
        <v>5.86</v>
      </c>
      <c r="K186" s="136">
        <v>1</v>
      </c>
      <c r="L186" s="142"/>
      <c r="M186" s="143"/>
      <c r="N186" s="160" t="s">
        <v>32</v>
      </c>
      <c r="O186" s="144">
        <v>23</v>
      </c>
      <c r="Q186" s="2"/>
    </row>
    <row r="187" spans="1:20" ht="18.75" x14ac:dyDescent="0.3">
      <c r="A187" s="444"/>
      <c r="B187" s="201">
        <v>297</v>
      </c>
      <c r="C187" s="161">
        <v>24</v>
      </c>
      <c r="D187" s="201" t="s">
        <v>48</v>
      </c>
      <c r="E187" s="202">
        <v>6</v>
      </c>
      <c r="F187" s="203">
        <f>VLOOKUP(D187,'[1]טיפוסי דירה'!$B$1:$E$51,2,FALSE)</f>
        <v>5</v>
      </c>
      <c r="G187" s="147">
        <v>125.66</v>
      </c>
      <c r="H187" s="148">
        <f>VLOOKUP(D187,'[1]טיפוסי דירה'!$B$1:$E$51,4,FALSE)</f>
        <v>22.25</v>
      </c>
      <c r="I187" s="149">
        <v>6.6749999999999998</v>
      </c>
      <c r="J187" s="233">
        <v>9.16</v>
      </c>
      <c r="K187" s="151">
        <v>2</v>
      </c>
      <c r="L187" s="152">
        <f>(G187+I187+(J187*0.4)+(K187*2))*$O$4-((G187-125)*0.15*$O$4)</f>
        <v>949361.39999999991</v>
      </c>
      <c r="M187" s="153"/>
      <c r="N187" s="162" t="s">
        <v>30</v>
      </c>
      <c r="O187" s="163">
        <v>1</v>
      </c>
      <c r="P187" s="86"/>
      <c r="Q187" s="87"/>
      <c r="T187" s="110"/>
    </row>
    <row r="188" spans="1:20" customFormat="1" ht="15" customHeight="1" x14ac:dyDescent="0.3">
      <c r="A188" s="444"/>
      <c r="B188" s="136">
        <v>297</v>
      </c>
      <c r="C188" s="137">
        <v>25</v>
      </c>
      <c r="D188" s="136" t="s">
        <v>49</v>
      </c>
      <c r="E188" s="137">
        <v>6</v>
      </c>
      <c r="F188" s="200">
        <f>VLOOKUP(D188,'[1]טיפוסי דירה'!$B$1:$E$51,2,FALSE)</f>
        <v>4</v>
      </c>
      <c r="G188" s="138">
        <f>VLOOKUP(D188,'[1]טיפוסי דירה'!$B$1:$E$51,3,FALSE)</f>
        <v>104.15</v>
      </c>
      <c r="H188" s="139">
        <f>VLOOKUP(D188,'[1]טיפוסי דירה'!$B$1:$E$51,4,FALSE)</f>
        <v>19.91</v>
      </c>
      <c r="I188" s="140">
        <v>5.9729999999999999</v>
      </c>
      <c r="J188" s="230">
        <v>6.69</v>
      </c>
      <c r="K188" s="136">
        <v>2</v>
      </c>
      <c r="L188" s="142"/>
      <c r="M188" s="143"/>
      <c r="N188" s="160" t="s">
        <v>32</v>
      </c>
      <c r="O188" s="144">
        <v>25</v>
      </c>
      <c r="Q188" s="2"/>
    </row>
    <row r="189" spans="1:20" customFormat="1" ht="15" customHeight="1" x14ac:dyDescent="0.3">
      <c r="A189" s="444"/>
      <c r="B189" s="144">
        <v>297</v>
      </c>
      <c r="C189" s="160">
        <v>26</v>
      </c>
      <c r="D189" s="144" t="s">
        <v>50</v>
      </c>
      <c r="E189" s="160">
        <v>6</v>
      </c>
      <c r="F189" s="144">
        <f>VLOOKUP(D189,'[1]טיפוסי דירה'!$B$1:$E$51,2,FALSE)</f>
        <v>4</v>
      </c>
      <c r="G189" s="160">
        <f>VLOOKUP(D189,'[1]טיפוסי דירה'!$B$1:$E$51,3,FALSE)</f>
        <v>104.21</v>
      </c>
      <c r="H189" s="144">
        <f>VLOOKUP(D189,'[1]טיפוסי דירה'!$B$1:$E$51,4,FALSE)</f>
        <v>19.91</v>
      </c>
      <c r="I189" s="235">
        <v>5.9729999999999999</v>
      </c>
      <c r="J189" s="205">
        <v>6.7</v>
      </c>
      <c r="K189" s="144">
        <v>1</v>
      </c>
      <c r="L189" s="160"/>
      <c r="M189" s="144"/>
      <c r="N189" s="160" t="s">
        <v>32</v>
      </c>
      <c r="O189" s="144">
        <v>26</v>
      </c>
    </row>
    <row r="190" spans="1:20" customFormat="1" ht="15" customHeight="1" x14ac:dyDescent="0.3">
      <c r="A190" s="444"/>
      <c r="B190" s="136">
        <v>297</v>
      </c>
      <c r="C190" s="137">
        <v>27</v>
      </c>
      <c r="D190" s="136" t="s">
        <v>51</v>
      </c>
      <c r="E190" s="137">
        <v>6</v>
      </c>
      <c r="F190" s="200">
        <f>VLOOKUP(D190,'[1]טיפוסי דירה'!$B$1:$E$51,2,FALSE)</f>
        <v>3</v>
      </c>
      <c r="G190" s="138">
        <f>VLOOKUP(D190,'[1]טיפוסי דירה'!$B$1:$E$51,3,FALSE)</f>
        <v>79.7</v>
      </c>
      <c r="H190" s="139">
        <f>VLOOKUP(D190,'[1]טיפוסי דירה'!$B$1:$E$51,4,FALSE)</f>
        <v>14.06</v>
      </c>
      <c r="I190" s="140">
        <v>4.218</v>
      </c>
      <c r="J190" s="230">
        <v>5.86</v>
      </c>
      <c r="K190" s="136">
        <v>1</v>
      </c>
      <c r="L190" s="142"/>
      <c r="M190" s="143"/>
      <c r="N190" s="160" t="s">
        <v>32</v>
      </c>
      <c r="O190" s="144">
        <v>27</v>
      </c>
      <c r="Q190" s="2"/>
    </row>
    <row r="191" spans="1:20" customFormat="1" ht="15" customHeight="1" x14ac:dyDescent="0.3">
      <c r="A191" s="444"/>
      <c r="B191" s="136">
        <v>297</v>
      </c>
      <c r="C191" s="137">
        <v>28</v>
      </c>
      <c r="D191" s="136" t="s">
        <v>52</v>
      </c>
      <c r="E191" s="137">
        <v>7</v>
      </c>
      <c r="F191" s="200">
        <f>VLOOKUP(D191,'[1]טיפוסי דירה'!$B$1:$E$51,2,FALSE)</f>
        <v>6</v>
      </c>
      <c r="G191" s="138">
        <f>VLOOKUP(D191,'[1]טיפוסי דירה'!$B$1:$E$51,3,FALSE)</f>
        <v>168.49</v>
      </c>
      <c r="H191" s="139">
        <f>VLOOKUP(D191,'[1]טיפוסי דירה'!$B$1:$E$51,4,FALSE)</f>
        <v>78.25</v>
      </c>
      <c r="I191" s="140">
        <v>16.824999999999999</v>
      </c>
      <c r="J191" s="230">
        <v>5.87</v>
      </c>
      <c r="K191" s="136">
        <v>2</v>
      </c>
      <c r="L191" s="142"/>
      <c r="M191" s="143"/>
      <c r="N191" s="160" t="s">
        <v>32</v>
      </c>
      <c r="O191" s="144">
        <v>28</v>
      </c>
      <c r="Q191" s="2"/>
    </row>
    <row r="192" spans="1:20" customFormat="1" ht="15" customHeight="1" x14ac:dyDescent="0.3">
      <c r="A192" s="444"/>
      <c r="B192" s="136">
        <v>297</v>
      </c>
      <c r="C192" s="137">
        <v>29</v>
      </c>
      <c r="D192" s="136" t="s">
        <v>52</v>
      </c>
      <c r="E192" s="137">
        <v>7</v>
      </c>
      <c r="F192" s="200">
        <f>VLOOKUP(D192,'[1]טיפוסי דירה'!$B$1:$E$51,2,FALSE)</f>
        <v>6</v>
      </c>
      <c r="G192" s="138">
        <f>VLOOKUP(D192,'[1]טיפוסי דירה'!$B$1:$E$51,3,FALSE)</f>
        <v>168.49</v>
      </c>
      <c r="H192" s="139">
        <f>VLOOKUP(D192,'[1]טיפוסי דירה'!$B$1:$E$51,4,FALSE)</f>
        <v>78.25</v>
      </c>
      <c r="I192" s="140">
        <v>16.824999999999999</v>
      </c>
      <c r="J192" s="230">
        <v>6.04</v>
      </c>
      <c r="K192" s="136">
        <v>2</v>
      </c>
      <c r="L192" s="142"/>
      <c r="M192" s="143"/>
      <c r="N192" s="160" t="s">
        <v>32</v>
      </c>
      <c r="O192" s="144">
        <v>29</v>
      </c>
      <c r="Q192" s="2"/>
    </row>
    <row r="193" spans="1:20" customFormat="1" ht="15" customHeight="1" x14ac:dyDescent="0.3">
      <c r="A193" s="444"/>
      <c r="B193" s="136">
        <v>297</v>
      </c>
      <c r="C193" s="137">
        <v>30</v>
      </c>
      <c r="D193" s="136" t="s">
        <v>53</v>
      </c>
      <c r="E193" s="137">
        <v>8</v>
      </c>
      <c r="F193" s="200">
        <f>VLOOKUP(D193,'[1]טיפוסי דירה'!$B$1:$E$51,2,FALSE)</f>
        <v>5</v>
      </c>
      <c r="G193" s="138">
        <f>VLOOKUP(D193,'[1]טיפוסי דירה'!$B$1:$E$51,3,FALSE)</f>
        <v>147.15</v>
      </c>
      <c r="H193" s="139">
        <f>VLOOKUP(D193,'[1]טיפוסי דירה'!$B$1:$E$51,4,FALSE)</f>
        <v>43.27</v>
      </c>
      <c r="I193" s="140">
        <v>11.654</v>
      </c>
      <c r="J193" s="230">
        <v>6.18</v>
      </c>
      <c r="K193" s="136">
        <v>2</v>
      </c>
      <c r="L193" s="142"/>
      <c r="M193" s="206"/>
      <c r="N193" s="160" t="s">
        <v>32</v>
      </c>
      <c r="O193" s="144">
        <v>30</v>
      </c>
      <c r="Q193" s="2"/>
    </row>
    <row r="194" spans="1:20" customFormat="1" ht="15.75" customHeight="1" thickBot="1" x14ac:dyDescent="0.35">
      <c r="A194" s="454"/>
      <c r="B194" s="210">
        <v>297</v>
      </c>
      <c r="C194" s="211">
        <v>31</v>
      </c>
      <c r="D194" s="210" t="s">
        <v>53</v>
      </c>
      <c r="E194" s="211">
        <v>8</v>
      </c>
      <c r="F194" s="212">
        <f>VLOOKUP(D194,'[1]טיפוסי דירה'!$B$1:$E$51,2,FALSE)</f>
        <v>5</v>
      </c>
      <c r="G194" s="213">
        <f>VLOOKUP(D194,'[1]טיפוסי דירה'!$B$1:$E$51,3,FALSE)</f>
        <v>147.15</v>
      </c>
      <c r="H194" s="214">
        <f>VLOOKUP(D194,'[1]טיפוסי דירה'!$B$1:$E$51,4,FALSE)</f>
        <v>43.27</v>
      </c>
      <c r="I194" s="215">
        <v>11.654</v>
      </c>
      <c r="J194" s="236">
        <v>5.71</v>
      </c>
      <c r="K194" s="210">
        <v>2</v>
      </c>
      <c r="L194" s="177"/>
      <c r="M194" s="237"/>
      <c r="N194" s="225" t="s">
        <v>32</v>
      </c>
      <c r="O194" s="238">
        <v>31</v>
      </c>
      <c r="Q194" s="2"/>
    </row>
    <row r="195" spans="1:20" customFormat="1" ht="15.75" customHeight="1" thickBot="1" x14ac:dyDescent="0.35">
      <c r="A195" s="218" t="s">
        <v>40</v>
      </c>
      <c r="B195" s="219"/>
      <c r="C195" s="241"/>
      <c r="D195" s="219"/>
      <c r="E195" s="241"/>
      <c r="F195" s="219"/>
      <c r="G195" s="294">
        <f>SUMIF(N164:N194,"כן",G164:G194)/COUNTIF(N164:N194,"כן")</f>
        <v>105.17000000000002</v>
      </c>
      <c r="H195" s="220"/>
      <c r="I195" s="242">
        <v>0</v>
      </c>
      <c r="J195" s="243"/>
      <c r="K195" s="221"/>
      <c r="L195" s="243"/>
      <c r="M195" s="221"/>
      <c r="N195" s="295">
        <f>COUNTIF(N164:N194,"כן")/COUNT(C164:C194)</f>
        <v>0.38709677419354838</v>
      </c>
      <c r="O195" s="223"/>
      <c r="Q195" s="1"/>
    </row>
    <row r="196" spans="1:20" customFormat="1" ht="15" customHeight="1" x14ac:dyDescent="0.3">
      <c r="A196" s="449" t="s">
        <v>44</v>
      </c>
      <c r="B196" s="190">
        <v>298</v>
      </c>
      <c r="C196" s="191">
        <v>1</v>
      </c>
      <c r="D196" s="190" t="s">
        <v>45</v>
      </c>
      <c r="E196" s="191" t="s">
        <v>29</v>
      </c>
      <c r="F196" s="192">
        <f>VLOOKUP(D196,'[1]טיפוסי דירה'!$B$1:$E$51,2,FALSE)</f>
        <v>5</v>
      </c>
      <c r="G196" s="193">
        <f>VLOOKUP(D196,'[1]טיפוסי דירה'!$B$1:$E$51,3,FALSE)</f>
        <v>126.81</v>
      </c>
      <c r="H196" s="194">
        <v>154.47</v>
      </c>
      <c r="I196" s="195">
        <v>21</v>
      </c>
      <c r="J196" s="229">
        <v>5.49</v>
      </c>
      <c r="K196" s="190">
        <v>2</v>
      </c>
      <c r="L196" s="198"/>
      <c r="M196" s="240"/>
      <c r="N196" s="224" t="s">
        <v>32</v>
      </c>
      <c r="O196" s="197">
        <v>1</v>
      </c>
      <c r="Q196" s="2"/>
    </row>
    <row r="197" spans="1:20" customFormat="1" ht="15" customHeight="1" x14ac:dyDescent="0.3">
      <c r="A197" s="441"/>
      <c r="B197" s="136">
        <v>298</v>
      </c>
      <c r="C197" s="137">
        <v>2</v>
      </c>
      <c r="D197" s="136" t="s">
        <v>46</v>
      </c>
      <c r="E197" s="137" t="s">
        <v>29</v>
      </c>
      <c r="F197" s="200">
        <f>VLOOKUP(D197,'[1]טיפוסי דירה'!$B$1:$E$51,2,FALSE)</f>
        <v>4</v>
      </c>
      <c r="G197" s="138">
        <f>VLOOKUP(D197,'[1]טיפוסי דירה'!$B$1:$E$51,3,FALSE)</f>
        <v>104.15</v>
      </c>
      <c r="H197" s="139">
        <v>199.69</v>
      </c>
      <c r="I197" s="140">
        <v>21</v>
      </c>
      <c r="J197" s="230">
        <v>7.04</v>
      </c>
      <c r="K197" s="136">
        <v>2</v>
      </c>
      <c r="L197" s="142"/>
      <c r="M197" s="143"/>
      <c r="N197" s="160" t="s">
        <v>32</v>
      </c>
      <c r="O197" s="144">
        <v>2</v>
      </c>
      <c r="Q197" s="2"/>
    </row>
    <row r="198" spans="1:20" customFormat="1" ht="15" customHeight="1" x14ac:dyDescent="0.3">
      <c r="A198" s="441"/>
      <c r="B198" s="136">
        <v>298</v>
      </c>
      <c r="C198" s="137">
        <v>3</v>
      </c>
      <c r="D198" s="136" t="s">
        <v>47</v>
      </c>
      <c r="E198" s="137" t="s">
        <v>29</v>
      </c>
      <c r="F198" s="200">
        <f>VLOOKUP(D198,'[1]טיפוסי דירה'!$B$1:$E$51,2,FALSE)</f>
        <v>4</v>
      </c>
      <c r="G198" s="138">
        <f>VLOOKUP(D198,'[1]טיפוסי דירה'!$B$1:$E$51,3,FALSE)</f>
        <v>104.71</v>
      </c>
      <c r="H198" s="139">
        <v>196.03</v>
      </c>
      <c r="I198" s="140">
        <v>21</v>
      </c>
      <c r="J198" s="230">
        <v>5.24</v>
      </c>
      <c r="K198" s="136">
        <v>2</v>
      </c>
      <c r="L198" s="142"/>
      <c r="M198" s="143"/>
      <c r="N198" s="160" t="s">
        <v>32</v>
      </c>
      <c r="O198" s="136">
        <v>7</v>
      </c>
      <c r="Q198" s="7"/>
    </row>
    <row r="199" spans="1:20" ht="18.75" x14ac:dyDescent="0.3">
      <c r="A199" s="441"/>
      <c r="B199" s="201">
        <v>298</v>
      </c>
      <c r="C199" s="146">
        <v>4</v>
      </c>
      <c r="D199" s="201" t="s">
        <v>48</v>
      </c>
      <c r="E199" s="202">
        <v>1</v>
      </c>
      <c r="F199" s="203">
        <f>VLOOKUP(D199,'[1]טיפוסי דירה'!$B$1:$E$51,2,FALSE)</f>
        <v>5</v>
      </c>
      <c r="G199" s="147">
        <v>125.66</v>
      </c>
      <c r="H199" s="148">
        <f>VLOOKUP(D199,'[1]טיפוסי דירה'!$B$1:$E$51,4,FALSE)</f>
        <v>22.25</v>
      </c>
      <c r="I199" s="149">
        <v>6.6749999999999998</v>
      </c>
      <c r="J199" s="233">
        <v>9.09</v>
      </c>
      <c r="K199" s="145">
        <v>2</v>
      </c>
      <c r="L199" s="152">
        <f>(G199+I199+(J199*0.4)+(K199*2))*$O$4-((G199-125)*0.15*$O$4)</f>
        <v>949171.39199999999</v>
      </c>
      <c r="M199" s="153"/>
      <c r="N199" s="154" t="s">
        <v>30</v>
      </c>
      <c r="O199" s="155">
        <v>31</v>
      </c>
      <c r="P199" s="86"/>
      <c r="Q199" s="87"/>
      <c r="T199" s="110"/>
    </row>
    <row r="200" spans="1:20" ht="15" customHeight="1" x14ac:dyDescent="0.3">
      <c r="A200" s="441"/>
      <c r="B200" s="201">
        <v>298</v>
      </c>
      <c r="C200" s="146">
        <v>5</v>
      </c>
      <c r="D200" s="201" t="s">
        <v>49</v>
      </c>
      <c r="E200" s="202">
        <v>1</v>
      </c>
      <c r="F200" s="203">
        <f>VLOOKUP(D200,'[1]טיפוסי דירה'!$B$1:$E$51,2,FALSE)</f>
        <v>4</v>
      </c>
      <c r="G200" s="147">
        <v>104</v>
      </c>
      <c r="H200" s="148">
        <f>VLOOKUP(D200,'[1]טיפוסי דירה'!$B$1:$E$51,4,FALSE)</f>
        <v>19.91</v>
      </c>
      <c r="I200" s="149">
        <v>5.9729999999999999</v>
      </c>
      <c r="J200" s="233">
        <v>10.11</v>
      </c>
      <c r="K200" s="145">
        <v>2</v>
      </c>
      <c r="L200" s="152">
        <f>(G200+I200+(J200*0.4)+(K200*2))*$O$4</f>
        <v>800863.36199999996</v>
      </c>
      <c r="M200" s="153"/>
      <c r="N200" s="154" t="s">
        <v>30</v>
      </c>
      <c r="O200" s="155">
        <v>23</v>
      </c>
      <c r="P200" s="86"/>
      <c r="Q200" s="86"/>
      <c r="T200" s="110"/>
    </row>
    <row r="201" spans="1:20" ht="18.75" x14ac:dyDescent="0.3">
      <c r="A201" s="441"/>
      <c r="B201" s="201">
        <v>298</v>
      </c>
      <c r="C201" s="146">
        <v>6</v>
      </c>
      <c r="D201" s="201" t="s">
        <v>50</v>
      </c>
      <c r="E201" s="202">
        <v>1</v>
      </c>
      <c r="F201" s="203">
        <f>VLOOKUP(D201,'[1]טיפוסי דירה'!$B$1:$E$51,2,FALSE)</f>
        <v>4</v>
      </c>
      <c r="G201" s="147">
        <v>104.07</v>
      </c>
      <c r="H201" s="148">
        <f>VLOOKUP(D201,'[1]טיפוסי דירה'!$B$1:$E$51,4,FALSE)</f>
        <v>19.91</v>
      </c>
      <c r="I201" s="149">
        <v>5.9729999999999999</v>
      </c>
      <c r="J201" s="233">
        <v>5.55</v>
      </c>
      <c r="K201" s="145">
        <v>1</v>
      </c>
      <c r="L201" s="152">
        <f>(G201+I201+(J201*0.4)+(K201*2))*$O$4</f>
        <v>775388.71799999999</v>
      </c>
      <c r="M201" s="153"/>
      <c r="N201" s="154" t="s">
        <v>30</v>
      </c>
      <c r="O201" s="155">
        <v>6</v>
      </c>
      <c r="P201" s="86"/>
      <c r="Q201" s="86"/>
      <c r="T201" s="110"/>
    </row>
    <row r="202" spans="1:20" ht="18.75" x14ac:dyDescent="0.3">
      <c r="A202" s="441"/>
      <c r="B202" s="201">
        <v>298</v>
      </c>
      <c r="C202" s="146">
        <v>7</v>
      </c>
      <c r="D202" s="201" t="s">
        <v>51</v>
      </c>
      <c r="E202" s="202">
        <v>1</v>
      </c>
      <c r="F202" s="203">
        <f>VLOOKUP(D202,'[1]טיפוסי דירה'!$B$1:$E$51,2,FALSE)</f>
        <v>3</v>
      </c>
      <c r="G202" s="147">
        <v>79.73</v>
      </c>
      <c r="H202" s="148">
        <v>14.05</v>
      </c>
      <c r="I202" s="149">
        <v>4.2149999999999999</v>
      </c>
      <c r="J202" s="233">
        <v>12.38</v>
      </c>
      <c r="K202" s="145">
        <v>1</v>
      </c>
      <c r="L202" s="152">
        <f>(G202+I202+(J202*0.4)+(K202*2))*$O$4</f>
        <v>616827.04200000002</v>
      </c>
      <c r="M202" s="153"/>
      <c r="N202" s="154" t="s">
        <v>30</v>
      </c>
      <c r="O202" s="155">
        <v>3</v>
      </c>
      <c r="P202" s="86"/>
      <c r="Q202" s="86"/>
      <c r="T202" s="110"/>
    </row>
    <row r="203" spans="1:20" ht="15" customHeight="1" x14ac:dyDescent="0.3">
      <c r="A203" s="441"/>
      <c r="B203" s="201">
        <v>298</v>
      </c>
      <c r="C203" s="146">
        <v>8</v>
      </c>
      <c r="D203" s="201" t="s">
        <v>48</v>
      </c>
      <c r="E203" s="202">
        <v>2</v>
      </c>
      <c r="F203" s="203">
        <f>VLOOKUP(D203,'[1]טיפוסי דירה'!$B$1:$E$51,2,FALSE)</f>
        <v>5</v>
      </c>
      <c r="G203" s="147">
        <v>125.66</v>
      </c>
      <c r="H203" s="148">
        <f>VLOOKUP(D203,'[1]טיפוסי דירה'!$B$1:$E$51,4,FALSE)</f>
        <v>22.25</v>
      </c>
      <c r="I203" s="149">
        <v>6.6749999999999998</v>
      </c>
      <c r="J203" s="233">
        <v>9.83</v>
      </c>
      <c r="K203" s="145">
        <v>2</v>
      </c>
      <c r="L203" s="152">
        <f>(G203+I203+(J203*0.4)+(K203*2))*$O$4-((G203-125)*0.15*$O$4)</f>
        <v>951180.04799999995</v>
      </c>
      <c r="M203" s="153"/>
      <c r="N203" s="154" t="s">
        <v>30</v>
      </c>
      <c r="O203" s="155">
        <v>29</v>
      </c>
      <c r="P203" s="86"/>
      <c r="Q203" s="87"/>
      <c r="T203" s="110"/>
    </row>
    <row r="204" spans="1:20" ht="18.75" x14ac:dyDescent="0.3">
      <c r="A204" s="441"/>
      <c r="B204" s="201">
        <v>298</v>
      </c>
      <c r="C204" s="146">
        <v>9</v>
      </c>
      <c r="D204" s="201" t="s">
        <v>49</v>
      </c>
      <c r="E204" s="202">
        <v>2</v>
      </c>
      <c r="F204" s="203">
        <f>VLOOKUP(D204,'[1]טיפוסי דירה'!$B$1:$E$51,2,FALSE)</f>
        <v>4</v>
      </c>
      <c r="G204" s="147">
        <v>104</v>
      </c>
      <c r="H204" s="148">
        <f>VLOOKUP(D204,'[1]טיפוסי דירה'!$B$1:$E$51,4,FALSE)</f>
        <v>19.91</v>
      </c>
      <c r="I204" s="149">
        <v>5.9729999999999999</v>
      </c>
      <c r="J204" s="233">
        <v>5.21</v>
      </c>
      <c r="K204" s="145">
        <v>2</v>
      </c>
      <c r="L204" s="152">
        <f>(G204+I204+(J204*0.4)+(K204*2))*$O$4</f>
        <v>787562.80200000003</v>
      </c>
      <c r="M204" s="153"/>
      <c r="N204" s="154" t="s">
        <v>30</v>
      </c>
      <c r="O204" s="155">
        <v>9</v>
      </c>
      <c r="P204" s="86"/>
      <c r="Q204" s="86"/>
      <c r="T204" s="110"/>
    </row>
    <row r="205" spans="1:20" ht="18.75" x14ac:dyDescent="0.3">
      <c r="A205" s="441"/>
      <c r="B205" s="201">
        <v>298</v>
      </c>
      <c r="C205" s="146">
        <v>10</v>
      </c>
      <c r="D205" s="201" t="s">
        <v>50</v>
      </c>
      <c r="E205" s="202">
        <v>2</v>
      </c>
      <c r="F205" s="203">
        <f>VLOOKUP(D205,'[1]טיפוסי דירה'!$B$1:$E$51,2,FALSE)</f>
        <v>4</v>
      </c>
      <c r="G205" s="147">
        <v>104.07</v>
      </c>
      <c r="H205" s="148">
        <f>VLOOKUP(D205,'[1]טיפוסי דירה'!$B$1:$E$51,4,FALSE)</f>
        <v>19.91</v>
      </c>
      <c r="I205" s="149">
        <v>5.9729999999999999</v>
      </c>
      <c r="J205" s="233">
        <v>5.21</v>
      </c>
      <c r="K205" s="145">
        <v>1</v>
      </c>
      <c r="L205" s="152">
        <f>(G205+I205+(J205*0.4)+(K205*2))*$O$4</f>
        <v>774465.82199999993</v>
      </c>
      <c r="M205" s="153"/>
      <c r="N205" s="154" t="s">
        <v>30</v>
      </c>
      <c r="O205" s="155">
        <v>10</v>
      </c>
      <c r="P205" s="86"/>
      <c r="Q205" s="86"/>
      <c r="T205" s="110"/>
    </row>
    <row r="206" spans="1:20" ht="18.75" x14ac:dyDescent="0.3">
      <c r="A206" s="441"/>
      <c r="B206" s="201">
        <v>298</v>
      </c>
      <c r="C206" s="146">
        <v>11</v>
      </c>
      <c r="D206" s="201" t="s">
        <v>51</v>
      </c>
      <c r="E206" s="202">
        <v>2</v>
      </c>
      <c r="F206" s="203">
        <f>VLOOKUP(D206,'[1]טיפוסי דירה'!$B$1:$E$51,2,FALSE)</f>
        <v>3</v>
      </c>
      <c r="G206" s="147">
        <v>79.73</v>
      </c>
      <c r="H206" s="148">
        <v>14.05</v>
      </c>
      <c r="I206" s="149">
        <v>4.2149999999999999</v>
      </c>
      <c r="J206" s="233">
        <v>11.02</v>
      </c>
      <c r="K206" s="145">
        <v>1</v>
      </c>
      <c r="L206" s="152">
        <f>(G206+I206+(J206*0.4)+(K206*2))*$O$4</f>
        <v>613135.4580000001</v>
      </c>
      <c r="M206" s="153"/>
      <c r="N206" s="154" t="s">
        <v>30</v>
      </c>
      <c r="O206" s="155">
        <v>12</v>
      </c>
      <c r="P206" s="86"/>
      <c r="Q206" s="86"/>
      <c r="T206" s="110"/>
    </row>
    <row r="207" spans="1:20" ht="18.75" x14ac:dyDescent="0.3">
      <c r="A207" s="441"/>
      <c r="B207" s="201">
        <v>298</v>
      </c>
      <c r="C207" s="161">
        <v>12</v>
      </c>
      <c r="D207" s="201" t="s">
        <v>48</v>
      </c>
      <c r="E207" s="202">
        <v>3</v>
      </c>
      <c r="F207" s="203">
        <f>VLOOKUP(D207,'[1]טיפוסי דירה'!$B$1:$E$51,2,FALSE)</f>
        <v>5</v>
      </c>
      <c r="G207" s="147">
        <v>125.66</v>
      </c>
      <c r="H207" s="148">
        <f>VLOOKUP(D207,'[1]טיפוסי דירה'!$B$1:$E$51,4,FALSE)</f>
        <v>22.25</v>
      </c>
      <c r="I207" s="149">
        <v>6.6749999999999998</v>
      </c>
      <c r="J207" s="233">
        <v>9.81</v>
      </c>
      <c r="K207" s="151">
        <v>2</v>
      </c>
      <c r="L207" s="152">
        <f>(G207+I207+(J207*0.4)+(K207*2))*$O$4-((G207-125)*0.15*$O$4)</f>
        <v>951125.76000000013</v>
      </c>
      <c r="M207" s="153"/>
      <c r="N207" s="162" t="s">
        <v>30</v>
      </c>
      <c r="O207" s="163">
        <v>30</v>
      </c>
      <c r="P207" s="86"/>
      <c r="Q207" s="87"/>
      <c r="T207" s="110"/>
    </row>
    <row r="208" spans="1:20" ht="18.75" x14ac:dyDescent="0.3">
      <c r="A208" s="441"/>
      <c r="B208" s="201">
        <v>298</v>
      </c>
      <c r="C208" s="146">
        <v>13</v>
      </c>
      <c r="D208" s="201" t="s">
        <v>49</v>
      </c>
      <c r="E208" s="202">
        <v>3</v>
      </c>
      <c r="F208" s="203">
        <f>VLOOKUP(D208,'[1]טיפוסי דירה'!$B$1:$E$51,2,FALSE)</f>
        <v>4</v>
      </c>
      <c r="G208" s="147">
        <v>104</v>
      </c>
      <c r="H208" s="148">
        <f>VLOOKUP(D208,'[1]טיפוסי דירה'!$B$1:$E$51,4,FALSE)</f>
        <v>19.91</v>
      </c>
      <c r="I208" s="149">
        <v>5.9729999999999999</v>
      </c>
      <c r="J208" s="233">
        <v>6.99</v>
      </c>
      <c r="K208" s="145">
        <v>2</v>
      </c>
      <c r="L208" s="152">
        <f>(G208+I208+(J208*0.4)+(K208*2))*$O$4</f>
        <v>792394.43400000001</v>
      </c>
      <c r="M208" s="153"/>
      <c r="N208" s="162" t="s">
        <v>30</v>
      </c>
      <c r="O208" s="155">
        <v>13</v>
      </c>
      <c r="P208" s="86"/>
      <c r="Q208" s="86"/>
      <c r="T208" s="110"/>
    </row>
    <row r="209" spans="1:20" ht="18.75" x14ac:dyDescent="0.3">
      <c r="A209" s="441"/>
      <c r="B209" s="201">
        <v>298</v>
      </c>
      <c r="C209" s="146">
        <v>14</v>
      </c>
      <c r="D209" s="201" t="s">
        <v>50</v>
      </c>
      <c r="E209" s="202">
        <v>3</v>
      </c>
      <c r="F209" s="203">
        <f>VLOOKUP(D209,'[1]טיפוסי דירה'!$B$1:$E$51,2,FALSE)</f>
        <v>4</v>
      </c>
      <c r="G209" s="147">
        <v>104.07</v>
      </c>
      <c r="H209" s="148">
        <f>VLOOKUP(D209,'[1]טיפוסי דירה'!$B$1:$E$51,4,FALSE)</f>
        <v>19.91</v>
      </c>
      <c r="I209" s="149">
        <v>5.9729999999999999</v>
      </c>
      <c r="J209" s="233">
        <v>11.86</v>
      </c>
      <c r="K209" s="145">
        <v>2</v>
      </c>
      <c r="L209" s="152">
        <f>(G209+I209+(J209*0.4)+(K209*2))*$O$4</f>
        <v>806088.58199999994</v>
      </c>
      <c r="M209" s="153"/>
      <c r="N209" s="162" t="s">
        <v>30</v>
      </c>
      <c r="O209" s="155">
        <v>14</v>
      </c>
      <c r="P209" s="86"/>
      <c r="Q209" s="86"/>
      <c r="T209" s="110"/>
    </row>
    <row r="210" spans="1:20" ht="15" customHeight="1" x14ac:dyDescent="0.3">
      <c r="A210" s="441"/>
      <c r="B210" s="201">
        <v>298</v>
      </c>
      <c r="C210" s="146">
        <v>15</v>
      </c>
      <c r="D210" s="201" t="s">
        <v>51</v>
      </c>
      <c r="E210" s="202">
        <v>3</v>
      </c>
      <c r="F210" s="203">
        <f>VLOOKUP(D210,'[1]טיפוסי דירה'!$B$1:$E$51,2,FALSE)</f>
        <v>3</v>
      </c>
      <c r="G210" s="147">
        <v>79.73</v>
      </c>
      <c r="H210" s="148">
        <v>14.05</v>
      </c>
      <c r="I210" s="149">
        <v>4.2149999999999999</v>
      </c>
      <c r="J210" s="233">
        <v>10.039999999999999</v>
      </c>
      <c r="K210" s="145">
        <v>1</v>
      </c>
      <c r="L210" s="152">
        <f>(G210+I210+(J210*0.4)+(K210*2))*$O$4</f>
        <v>610475.34600000014</v>
      </c>
      <c r="M210" s="153"/>
      <c r="N210" s="162" t="s">
        <v>30</v>
      </c>
      <c r="O210" s="155">
        <v>22</v>
      </c>
      <c r="P210" s="86"/>
      <c r="Q210" s="86"/>
      <c r="T210" s="110"/>
    </row>
    <row r="211" spans="1:20" ht="18.75" x14ac:dyDescent="0.3">
      <c r="A211" s="441"/>
      <c r="B211" s="201">
        <v>298</v>
      </c>
      <c r="C211" s="161">
        <v>16</v>
      </c>
      <c r="D211" s="201" t="s">
        <v>48</v>
      </c>
      <c r="E211" s="202">
        <v>4</v>
      </c>
      <c r="F211" s="203">
        <f>VLOOKUP(D211,'[1]טיפוסי דירה'!$B$1:$E$51,2,FALSE)</f>
        <v>5</v>
      </c>
      <c r="G211" s="147">
        <v>125.66</v>
      </c>
      <c r="H211" s="148">
        <f>VLOOKUP(D211,'[1]טיפוסי דירה'!$B$1:$E$51,4,FALSE)</f>
        <v>22.25</v>
      </c>
      <c r="I211" s="149">
        <v>6.6749999999999998</v>
      </c>
      <c r="J211" s="233">
        <v>5.01</v>
      </c>
      <c r="K211" s="151">
        <v>2</v>
      </c>
      <c r="L211" s="152">
        <f>(G211+I211+(J211*0.4)+(K211*2))*$O$4-((G211-125)*0.15*$O$4)</f>
        <v>938096.64000000001</v>
      </c>
      <c r="M211" s="153"/>
      <c r="N211" s="162" t="s">
        <v>30</v>
      </c>
      <c r="O211" s="163">
        <v>16</v>
      </c>
      <c r="P211" s="86"/>
      <c r="Q211" s="87"/>
      <c r="T211" s="110"/>
    </row>
    <row r="212" spans="1:20" customFormat="1" ht="15" customHeight="1" x14ac:dyDescent="0.3">
      <c r="A212" s="441"/>
      <c r="B212" s="136">
        <v>298</v>
      </c>
      <c r="C212" s="137">
        <v>17</v>
      </c>
      <c r="D212" s="136" t="s">
        <v>49</v>
      </c>
      <c r="E212" s="137">
        <v>4</v>
      </c>
      <c r="F212" s="200">
        <f>VLOOKUP(D212,'[1]טיפוסי דירה'!$B$1:$E$51,2,FALSE)</f>
        <v>4</v>
      </c>
      <c r="G212" s="138">
        <f>VLOOKUP(D212,'[1]טיפוסי דירה'!$B$1:$E$51,3,FALSE)</f>
        <v>104.15</v>
      </c>
      <c r="H212" s="139">
        <f>VLOOKUP(D212,'[1]טיפוסי דירה'!$B$1:$E$51,4,FALSE)</f>
        <v>19.91</v>
      </c>
      <c r="I212" s="140">
        <v>5.9729999999999999</v>
      </c>
      <c r="J212" s="230">
        <v>6.27</v>
      </c>
      <c r="K212" s="136">
        <v>1</v>
      </c>
      <c r="L212" s="142"/>
      <c r="M212" s="143"/>
      <c r="N212" s="160" t="s">
        <v>32</v>
      </c>
      <c r="O212" s="144">
        <v>24</v>
      </c>
      <c r="Q212" s="2"/>
    </row>
    <row r="213" spans="1:20" customFormat="1" ht="15" customHeight="1" x14ac:dyDescent="0.3">
      <c r="A213" s="441"/>
      <c r="B213" s="136">
        <v>298</v>
      </c>
      <c r="C213" s="137">
        <v>18</v>
      </c>
      <c r="D213" s="136" t="s">
        <v>50</v>
      </c>
      <c r="E213" s="137">
        <v>4</v>
      </c>
      <c r="F213" s="200">
        <f>VLOOKUP(D213,'[1]טיפוסי דירה'!$B$1:$E$51,2,FALSE)</f>
        <v>4</v>
      </c>
      <c r="G213" s="138">
        <f>VLOOKUP(D213,'[1]טיפוסי דירה'!$B$1:$E$51,3,FALSE)</f>
        <v>104.21</v>
      </c>
      <c r="H213" s="139">
        <f>VLOOKUP(D213,'[1]טיפוסי דירה'!$B$1:$E$51,4,FALSE)</f>
        <v>19.91</v>
      </c>
      <c r="I213" s="140">
        <v>5.9729999999999999</v>
      </c>
      <c r="J213" s="230">
        <v>5.36</v>
      </c>
      <c r="K213" s="136">
        <v>2</v>
      </c>
      <c r="L213" s="142"/>
      <c r="M213" s="143"/>
      <c r="N213" s="160" t="s">
        <v>32</v>
      </c>
      <c r="O213" s="144">
        <v>18</v>
      </c>
      <c r="Q213" s="2"/>
    </row>
    <row r="214" spans="1:20" customFormat="1" ht="15" customHeight="1" x14ac:dyDescent="0.3">
      <c r="A214" s="441" t="s">
        <v>44</v>
      </c>
      <c r="B214" s="136">
        <v>298</v>
      </c>
      <c r="C214" s="137">
        <v>19</v>
      </c>
      <c r="D214" s="136" t="s">
        <v>51</v>
      </c>
      <c r="E214" s="137">
        <v>4</v>
      </c>
      <c r="F214" s="200">
        <f>VLOOKUP(D214,'[1]טיפוסי דירה'!$B$1:$E$51,2,FALSE)</f>
        <v>3</v>
      </c>
      <c r="G214" s="138">
        <f>VLOOKUP(D214,'[1]טיפוסי דירה'!$B$1:$E$51,3,FALSE)</f>
        <v>79.7</v>
      </c>
      <c r="H214" s="139">
        <f>VLOOKUP(D214,'[1]טיפוסי דירה'!$B$1:$E$51,4,FALSE)</f>
        <v>14.06</v>
      </c>
      <c r="I214" s="140">
        <v>4.218</v>
      </c>
      <c r="J214" s="230">
        <v>6.09</v>
      </c>
      <c r="K214" s="136">
        <v>1</v>
      </c>
      <c r="L214" s="142"/>
      <c r="M214" s="143"/>
      <c r="N214" s="160" t="s">
        <v>32</v>
      </c>
      <c r="O214" s="144">
        <v>19</v>
      </c>
      <c r="Q214" s="47"/>
    </row>
    <row r="215" spans="1:20" customFormat="1" ht="15" customHeight="1" x14ac:dyDescent="0.3">
      <c r="A215" s="441"/>
      <c r="B215" s="136">
        <v>298</v>
      </c>
      <c r="C215" s="137">
        <v>20</v>
      </c>
      <c r="D215" s="136" t="s">
        <v>48</v>
      </c>
      <c r="E215" s="137">
        <v>5</v>
      </c>
      <c r="F215" s="200">
        <f>VLOOKUP(D215,'[1]טיפוסי דירה'!$B$1:$E$51,2,FALSE)</f>
        <v>5</v>
      </c>
      <c r="G215" s="138">
        <f>VLOOKUP(D215,'[1]טיפוסי דירה'!$B$1:$E$51,3,FALSE)</f>
        <v>125.62</v>
      </c>
      <c r="H215" s="139">
        <f>VLOOKUP(D215,'[1]טיפוסי דירה'!$B$1:$E$51,4,FALSE)</f>
        <v>22.25</v>
      </c>
      <c r="I215" s="140">
        <v>6.6749999999999998</v>
      </c>
      <c r="J215" s="230">
        <v>6.69</v>
      </c>
      <c r="K215" s="136">
        <v>2</v>
      </c>
      <c r="L215" s="142"/>
      <c r="M215" s="206"/>
      <c r="N215" s="160" t="s">
        <v>32</v>
      </c>
      <c r="O215" s="144">
        <v>20</v>
      </c>
      <c r="Q215" s="2"/>
    </row>
    <row r="216" spans="1:20" customFormat="1" ht="15" customHeight="1" x14ac:dyDescent="0.3">
      <c r="A216" s="441"/>
      <c r="B216" s="136">
        <v>298</v>
      </c>
      <c r="C216" s="137">
        <v>21</v>
      </c>
      <c r="D216" s="136" t="s">
        <v>49</v>
      </c>
      <c r="E216" s="137">
        <v>5</v>
      </c>
      <c r="F216" s="200">
        <f>VLOOKUP(D216,'[1]טיפוסי דירה'!$B$1:$E$51,2,FALSE)</f>
        <v>4</v>
      </c>
      <c r="G216" s="138">
        <f>VLOOKUP(D216,'[1]טיפוסי דירה'!$B$1:$E$51,3,FALSE)</f>
        <v>104.15</v>
      </c>
      <c r="H216" s="139">
        <f>VLOOKUP(D216,'[1]טיפוסי דירה'!$B$1:$E$51,4,FALSE)</f>
        <v>19.91</v>
      </c>
      <c r="I216" s="140">
        <v>5.9729999999999999</v>
      </c>
      <c r="J216" s="230">
        <v>6.56</v>
      </c>
      <c r="K216" s="136">
        <v>1</v>
      </c>
      <c r="L216" s="142"/>
      <c r="M216" s="143"/>
      <c r="N216" s="160" t="s">
        <v>32</v>
      </c>
      <c r="O216" s="144">
        <v>21</v>
      </c>
      <c r="Q216" s="2"/>
    </row>
    <row r="217" spans="1:20" customFormat="1" ht="15" customHeight="1" x14ac:dyDescent="0.3">
      <c r="A217" s="441"/>
      <c r="B217" s="136">
        <v>298</v>
      </c>
      <c r="C217" s="137">
        <v>22</v>
      </c>
      <c r="D217" s="136" t="s">
        <v>50</v>
      </c>
      <c r="E217" s="137">
        <v>5</v>
      </c>
      <c r="F217" s="200">
        <f>VLOOKUP(D217,'[1]טיפוסי דירה'!$B$1:$E$51,2,FALSE)</f>
        <v>4</v>
      </c>
      <c r="G217" s="138">
        <f>VLOOKUP(D217,'[1]טיפוסי דירה'!$B$1:$E$51,3,FALSE)</f>
        <v>104.21</v>
      </c>
      <c r="H217" s="139">
        <f>VLOOKUP(D217,'[1]טיפוסי דירה'!$B$1:$E$51,4,FALSE)</f>
        <v>19.91</v>
      </c>
      <c r="I217" s="140">
        <v>5.9729999999999999</v>
      </c>
      <c r="J217" s="230">
        <v>5.26</v>
      </c>
      <c r="K217" s="136">
        <v>2</v>
      </c>
      <c r="L217" s="142"/>
      <c r="M217" s="143"/>
      <c r="N217" s="160" t="s">
        <v>32</v>
      </c>
      <c r="O217" s="144">
        <v>15</v>
      </c>
      <c r="Q217" s="2"/>
    </row>
    <row r="218" spans="1:20" customFormat="1" ht="15" customHeight="1" x14ac:dyDescent="0.3">
      <c r="A218" s="441"/>
      <c r="B218" s="136">
        <v>298</v>
      </c>
      <c r="C218" s="137">
        <v>23</v>
      </c>
      <c r="D218" s="136" t="s">
        <v>51</v>
      </c>
      <c r="E218" s="137">
        <v>5</v>
      </c>
      <c r="F218" s="200">
        <f>VLOOKUP(D218,'[1]טיפוסי דירה'!$B$1:$E$51,2,FALSE)</f>
        <v>3</v>
      </c>
      <c r="G218" s="138">
        <f>VLOOKUP(D218,'[1]טיפוסי דירה'!$B$1:$E$51,3,FALSE)</f>
        <v>79.7</v>
      </c>
      <c r="H218" s="139">
        <f>VLOOKUP(D218,'[1]טיפוסי דירה'!$B$1:$E$51,4,FALSE)</f>
        <v>14.06</v>
      </c>
      <c r="I218" s="140">
        <v>4.218</v>
      </c>
      <c r="J218" s="230">
        <v>5.22</v>
      </c>
      <c r="K218" s="136">
        <v>1</v>
      </c>
      <c r="L218" s="142"/>
      <c r="M218" s="143"/>
      <c r="N218" s="160" t="s">
        <v>32</v>
      </c>
      <c r="O218" s="144">
        <v>5</v>
      </c>
      <c r="Q218" s="2"/>
    </row>
    <row r="219" spans="1:20" customFormat="1" ht="15" customHeight="1" x14ac:dyDescent="0.3">
      <c r="A219" s="441"/>
      <c r="B219" s="136">
        <v>298</v>
      </c>
      <c r="C219" s="137">
        <v>24</v>
      </c>
      <c r="D219" s="136" t="s">
        <v>48</v>
      </c>
      <c r="E219" s="137">
        <v>6</v>
      </c>
      <c r="F219" s="200">
        <f>VLOOKUP(D219,'[1]טיפוסי דירה'!$B$1:$E$51,2,FALSE)</f>
        <v>5</v>
      </c>
      <c r="G219" s="138">
        <f>VLOOKUP(D219,'[1]טיפוסי דירה'!$B$1:$E$51,3,FALSE)</f>
        <v>125.62</v>
      </c>
      <c r="H219" s="139">
        <f>VLOOKUP(D219,'[1]טיפוסי דירה'!$B$1:$E$51,4,FALSE)</f>
        <v>22.25</v>
      </c>
      <c r="I219" s="140">
        <v>6.6749999999999998</v>
      </c>
      <c r="J219" s="230">
        <v>5.23</v>
      </c>
      <c r="K219" s="136">
        <v>2</v>
      </c>
      <c r="L219" s="142"/>
      <c r="M219" s="206"/>
      <c r="N219" s="160" t="s">
        <v>32</v>
      </c>
      <c r="O219" s="144">
        <v>17</v>
      </c>
      <c r="Q219" s="2"/>
    </row>
    <row r="220" spans="1:20" customFormat="1" ht="15" customHeight="1" x14ac:dyDescent="0.3">
      <c r="A220" s="441"/>
      <c r="B220" s="136">
        <v>298</v>
      </c>
      <c r="C220" s="137">
        <v>25</v>
      </c>
      <c r="D220" s="136" t="s">
        <v>49</v>
      </c>
      <c r="E220" s="137">
        <v>6</v>
      </c>
      <c r="F220" s="136">
        <f>VLOOKUP(D220,'[1]טיפוסי דירה'!$B$1:$E$51,2,FALSE)</f>
        <v>4</v>
      </c>
      <c r="G220" s="137">
        <f>VLOOKUP(D220,'[1]טיפוסי דירה'!$B$1:$E$51,3,FALSE)</f>
        <v>104.15</v>
      </c>
      <c r="H220" s="136">
        <f>VLOOKUP(D220,'[1]טיפוסי דירה'!$B$1:$E$51,4,FALSE)</f>
        <v>19.91</v>
      </c>
      <c r="I220" s="207">
        <v>5.9729999999999999</v>
      </c>
      <c r="J220" s="141">
        <v>6.27</v>
      </c>
      <c r="K220" s="136">
        <v>1</v>
      </c>
      <c r="L220" s="137"/>
      <c r="M220" s="136"/>
      <c r="N220" s="137" t="s">
        <v>32</v>
      </c>
      <c r="O220" s="144">
        <v>25</v>
      </c>
    </row>
    <row r="221" spans="1:20" customFormat="1" ht="15" customHeight="1" x14ac:dyDescent="0.3">
      <c r="A221" s="441"/>
      <c r="B221" s="136">
        <v>298</v>
      </c>
      <c r="C221" s="137">
        <v>26</v>
      </c>
      <c r="D221" s="136" t="s">
        <v>50</v>
      </c>
      <c r="E221" s="137">
        <v>6</v>
      </c>
      <c r="F221" s="200">
        <f>VLOOKUP(D221,'[1]טיפוסי דירה'!$B$1:$E$51,2,FALSE)</f>
        <v>4</v>
      </c>
      <c r="G221" s="138">
        <f>VLOOKUP(D221,'[1]טיפוסי דירה'!$B$1:$E$51,3,FALSE)</f>
        <v>104.21</v>
      </c>
      <c r="H221" s="139">
        <f>VLOOKUP(D221,'[1]טיפוסי דירה'!$B$1:$E$51,4,FALSE)</f>
        <v>19.91</v>
      </c>
      <c r="I221" s="140">
        <v>5.9729999999999999</v>
      </c>
      <c r="J221" s="230">
        <v>6.6</v>
      </c>
      <c r="K221" s="136">
        <v>2</v>
      </c>
      <c r="L221" s="142"/>
      <c r="M221" s="143"/>
      <c r="N221" s="160" t="s">
        <v>32</v>
      </c>
      <c r="O221" s="144">
        <v>26</v>
      </c>
      <c r="Q221" s="2"/>
    </row>
    <row r="222" spans="1:20" customFormat="1" ht="15" customHeight="1" x14ac:dyDescent="0.3">
      <c r="A222" s="441"/>
      <c r="B222" s="136">
        <v>298</v>
      </c>
      <c r="C222" s="137">
        <v>27</v>
      </c>
      <c r="D222" s="136" t="s">
        <v>51</v>
      </c>
      <c r="E222" s="137">
        <v>6</v>
      </c>
      <c r="F222" s="200">
        <f>VLOOKUP(D222,'[1]טיפוסי דירה'!$B$1:$E$51,2,FALSE)</f>
        <v>3</v>
      </c>
      <c r="G222" s="138">
        <f>VLOOKUP(D222,'[1]טיפוסי דירה'!$B$1:$E$51,3,FALSE)</f>
        <v>79.7</v>
      </c>
      <c r="H222" s="139">
        <f>VLOOKUP(D222,'[1]טיפוסי דירה'!$B$1:$E$51,4,FALSE)</f>
        <v>14.06</v>
      </c>
      <c r="I222" s="140">
        <v>4.218</v>
      </c>
      <c r="J222" s="230">
        <v>6.7</v>
      </c>
      <c r="K222" s="136">
        <v>1</v>
      </c>
      <c r="L222" s="142"/>
      <c r="M222" s="143"/>
      <c r="N222" s="160" t="s">
        <v>32</v>
      </c>
      <c r="O222" s="144">
        <v>27</v>
      </c>
      <c r="Q222" s="2"/>
    </row>
    <row r="223" spans="1:20" customFormat="1" ht="15" customHeight="1" x14ac:dyDescent="0.3">
      <c r="A223" s="441"/>
      <c r="B223" s="136">
        <v>298</v>
      </c>
      <c r="C223" s="137">
        <v>28</v>
      </c>
      <c r="D223" s="136" t="s">
        <v>52</v>
      </c>
      <c r="E223" s="137">
        <v>7</v>
      </c>
      <c r="F223" s="200">
        <f>VLOOKUP(D223,'[1]טיפוסי דירה'!$B$1:$E$51,2,FALSE)</f>
        <v>6</v>
      </c>
      <c r="G223" s="138">
        <f>VLOOKUP(D223,'[1]טיפוסי דירה'!$B$1:$E$51,3,FALSE)</f>
        <v>168.49</v>
      </c>
      <c r="H223" s="139">
        <f>VLOOKUP(D223,'[1]טיפוסי דירה'!$B$1:$E$51,4,FALSE)</f>
        <v>78.25</v>
      </c>
      <c r="I223" s="140">
        <v>16.824999999999999</v>
      </c>
      <c r="J223" s="230">
        <v>6.42</v>
      </c>
      <c r="K223" s="136">
        <v>2</v>
      </c>
      <c r="L223" s="142"/>
      <c r="M223" s="143"/>
      <c r="N223" s="160" t="s">
        <v>32</v>
      </c>
      <c r="O223" s="144">
        <v>28</v>
      </c>
      <c r="Q223" s="2"/>
    </row>
    <row r="224" spans="1:20" customFormat="1" ht="15" customHeight="1" x14ac:dyDescent="0.3">
      <c r="A224" s="441"/>
      <c r="B224" s="136">
        <v>298</v>
      </c>
      <c r="C224" s="137">
        <v>29</v>
      </c>
      <c r="D224" s="136" t="s">
        <v>52</v>
      </c>
      <c r="E224" s="137">
        <v>7</v>
      </c>
      <c r="F224" s="200">
        <f>VLOOKUP(D224,'[1]טיפוסי דירה'!$B$1:$E$51,2,FALSE)</f>
        <v>6</v>
      </c>
      <c r="G224" s="138">
        <f>VLOOKUP(D224,'[1]טיפוסי דירה'!$B$1:$E$51,3,FALSE)</f>
        <v>168.49</v>
      </c>
      <c r="H224" s="139">
        <f>VLOOKUP(D224,'[1]טיפוסי דירה'!$B$1:$E$51,4,FALSE)</f>
        <v>78.25</v>
      </c>
      <c r="I224" s="140">
        <v>16.824999999999999</v>
      </c>
      <c r="J224" s="230">
        <v>5.21</v>
      </c>
      <c r="K224" s="136">
        <v>2</v>
      </c>
      <c r="L224" s="142"/>
      <c r="M224" s="143"/>
      <c r="N224" s="160" t="s">
        <v>32</v>
      </c>
      <c r="O224" s="144">
        <v>8</v>
      </c>
      <c r="Q224" s="2"/>
    </row>
    <row r="225" spans="1:20" customFormat="1" ht="15" customHeight="1" x14ac:dyDescent="0.3">
      <c r="A225" s="441"/>
      <c r="B225" s="136">
        <v>298</v>
      </c>
      <c r="C225" s="137">
        <v>30</v>
      </c>
      <c r="D225" s="136" t="s">
        <v>53</v>
      </c>
      <c r="E225" s="137">
        <v>8</v>
      </c>
      <c r="F225" s="200">
        <f>VLOOKUP(D225,'[1]טיפוסי דירה'!$B$1:$E$51,2,FALSE)</f>
        <v>5</v>
      </c>
      <c r="G225" s="138">
        <f>VLOOKUP(D225,'[1]טיפוסי דירה'!$B$1:$E$51,3,FALSE)</f>
        <v>147.15</v>
      </c>
      <c r="H225" s="139">
        <f>VLOOKUP(D225,'[1]טיפוסי דירה'!$B$1:$E$51,4,FALSE)</f>
        <v>43.27</v>
      </c>
      <c r="I225" s="140">
        <v>11.654</v>
      </c>
      <c r="J225" s="230">
        <v>5.38</v>
      </c>
      <c r="K225" s="136">
        <v>2</v>
      </c>
      <c r="L225" s="142"/>
      <c r="M225" s="206"/>
      <c r="N225" s="160" t="s">
        <v>32</v>
      </c>
      <c r="O225" s="144">
        <v>11</v>
      </c>
      <c r="Q225" s="2"/>
    </row>
    <row r="226" spans="1:20" customFormat="1" ht="15.75" customHeight="1" thickBot="1" x14ac:dyDescent="0.35">
      <c r="A226" s="450"/>
      <c r="B226" s="210">
        <v>298</v>
      </c>
      <c r="C226" s="211">
        <v>31</v>
      </c>
      <c r="D226" s="210" t="s">
        <v>53</v>
      </c>
      <c r="E226" s="211">
        <v>8</v>
      </c>
      <c r="F226" s="212">
        <f>VLOOKUP(D226,'[1]טיפוסי דירה'!$B$1:$E$51,2,FALSE)</f>
        <v>5</v>
      </c>
      <c r="G226" s="213">
        <f>VLOOKUP(D226,'[1]טיפוסי דירה'!$B$1:$E$51,3,FALSE)</f>
        <v>147.15</v>
      </c>
      <c r="H226" s="214">
        <f>VLOOKUP(D226,'[1]טיפוסי דירה'!$B$1:$E$51,4,FALSE)</f>
        <v>43.27</v>
      </c>
      <c r="I226" s="215">
        <v>11.654</v>
      </c>
      <c r="J226" s="236">
        <v>7.65</v>
      </c>
      <c r="K226" s="210">
        <v>2</v>
      </c>
      <c r="L226" s="177"/>
      <c r="M226" s="237"/>
      <c r="N226" s="225" t="s">
        <v>32</v>
      </c>
      <c r="O226" s="238">
        <v>4</v>
      </c>
      <c r="Q226" s="2"/>
    </row>
    <row r="227" spans="1:20" customFormat="1" ht="15.75" customHeight="1" thickBot="1" x14ac:dyDescent="0.35">
      <c r="A227" s="218" t="s">
        <v>40</v>
      </c>
      <c r="B227" s="226"/>
      <c r="C227" s="239"/>
      <c r="D227" s="226"/>
      <c r="E227" s="239"/>
      <c r="F227" s="226"/>
      <c r="G227" s="288">
        <f>SUMIF(N196:N226,"כן",G196:G226)/COUNTIF(N196:N226,"כן")</f>
        <v>105.08</v>
      </c>
      <c r="H227" s="227"/>
      <c r="I227" s="185">
        <v>0</v>
      </c>
      <c r="J227" s="186"/>
      <c r="K227" s="187"/>
      <c r="L227" s="186"/>
      <c r="M227" s="187"/>
      <c r="N227" s="291">
        <f>COUNTIF(N196:N226,"כן")/COUNT(C196:C226)</f>
        <v>0.41935483870967744</v>
      </c>
      <c r="O227" s="228"/>
      <c r="Q227" s="1"/>
    </row>
    <row r="228" spans="1:20" customFormat="1" ht="15" customHeight="1" x14ac:dyDescent="0.3">
      <c r="A228" s="449" t="s">
        <v>44</v>
      </c>
      <c r="B228" s="266">
        <v>299</v>
      </c>
      <c r="C228" s="267">
        <v>1</v>
      </c>
      <c r="D228" s="266" t="s">
        <v>45</v>
      </c>
      <c r="E228" s="267" t="s">
        <v>29</v>
      </c>
      <c r="F228" s="268">
        <f>VLOOKUP(D228,'[1]טיפוסי דירה'!$B$1:$E$51,2,FALSE)</f>
        <v>5</v>
      </c>
      <c r="G228" s="269">
        <f>VLOOKUP(D228,'[1]טיפוסי דירה'!$B$1:$E$51,3,FALSE)</f>
        <v>126.81</v>
      </c>
      <c r="H228" s="270">
        <v>130.94999999999999</v>
      </c>
      <c r="I228" s="271">
        <v>21</v>
      </c>
      <c r="J228" s="272">
        <v>5.56</v>
      </c>
      <c r="K228" s="266">
        <v>2</v>
      </c>
      <c r="L228" s="231"/>
      <c r="M228" s="273"/>
      <c r="N228" s="274" t="s">
        <v>32</v>
      </c>
      <c r="O228" s="275">
        <v>1</v>
      </c>
      <c r="Q228" s="2"/>
    </row>
    <row r="229" spans="1:20" customFormat="1" ht="15" customHeight="1" x14ac:dyDescent="0.3">
      <c r="A229" s="441"/>
      <c r="B229" s="136">
        <v>299</v>
      </c>
      <c r="C229" s="137">
        <v>2</v>
      </c>
      <c r="D229" s="136" t="s">
        <v>46</v>
      </c>
      <c r="E229" s="137" t="s">
        <v>29</v>
      </c>
      <c r="F229" s="200">
        <f>VLOOKUP(D229,'[1]טיפוסי דירה'!$B$1:$E$51,2,FALSE)</f>
        <v>4</v>
      </c>
      <c r="G229" s="138">
        <f>VLOOKUP(D229,'[1]טיפוסי דירה'!$B$1:$E$51,3,FALSE)</f>
        <v>104.15</v>
      </c>
      <c r="H229" s="139">
        <v>198.38</v>
      </c>
      <c r="I229" s="140">
        <v>21</v>
      </c>
      <c r="J229" s="230">
        <v>7.79</v>
      </c>
      <c r="K229" s="136">
        <v>2</v>
      </c>
      <c r="L229" s="142"/>
      <c r="M229" s="143"/>
      <c r="N229" s="160" t="s">
        <v>32</v>
      </c>
      <c r="O229" s="144">
        <v>2</v>
      </c>
      <c r="Q229" s="2"/>
    </row>
    <row r="230" spans="1:20" customFormat="1" ht="15" customHeight="1" x14ac:dyDescent="0.3">
      <c r="A230" s="441"/>
      <c r="B230" s="136">
        <v>299</v>
      </c>
      <c r="C230" s="137">
        <v>3</v>
      </c>
      <c r="D230" s="136" t="s">
        <v>47</v>
      </c>
      <c r="E230" s="137" t="s">
        <v>29</v>
      </c>
      <c r="F230" s="200">
        <f>VLOOKUP(D230,'[1]טיפוסי דירה'!$B$1:$E$51,2,FALSE)</f>
        <v>4</v>
      </c>
      <c r="G230" s="138">
        <f>VLOOKUP(D230,'[1]טיפוסי דירה'!$B$1:$E$51,3,FALSE)</f>
        <v>104.71</v>
      </c>
      <c r="H230" s="139">
        <v>178.55</v>
      </c>
      <c r="I230" s="140">
        <v>21</v>
      </c>
      <c r="J230" s="230">
        <v>7.07</v>
      </c>
      <c r="K230" s="136">
        <v>2</v>
      </c>
      <c r="L230" s="142"/>
      <c r="M230" s="143"/>
      <c r="N230" s="160" t="s">
        <v>32</v>
      </c>
      <c r="O230" s="136">
        <v>3</v>
      </c>
      <c r="Q230" s="7"/>
    </row>
    <row r="231" spans="1:20" ht="18.75" x14ac:dyDescent="0.3">
      <c r="A231" s="441"/>
      <c r="B231" s="201">
        <v>299</v>
      </c>
      <c r="C231" s="161">
        <v>4</v>
      </c>
      <c r="D231" s="201" t="s">
        <v>48</v>
      </c>
      <c r="E231" s="202">
        <v>1</v>
      </c>
      <c r="F231" s="203">
        <f>VLOOKUP(D231,'[1]טיפוסי דירה'!$B$1:$E$51,2,FALSE)</f>
        <v>5</v>
      </c>
      <c r="G231" s="147">
        <v>125.66</v>
      </c>
      <c r="H231" s="148">
        <f>VLOOKUP(D231,'[1]טיפוסי דירה'!$B$1:$E$51,4,FALSE)</f>
        <v>22.25</v>
      </c>
      <c r="I231" s="149">
        <v>6.6749999999999998</v>
      </c>
      <c r="J231" s="233">
        <v>12.12</v>
      </c>
      <c r="K231" s="151">
        <v>2</v>
      </c>
      <c r="L231" s="152">
        <f>(G231+I231+(J231*0.4)+(K231*2))*$O$4-((G231-125)*0.15*$O$4)</f>
        <v>957396.02400000009</v>
      </c>
      <c r="M231" s="153"/>
      <c r="N231" s="162" t="s">
        <v>30</v>
      </c>
      <c r="O231" s="163">
        <v>4</v>
      </c>
      <c r="P231" s="86"/>
      <c r="Q231" s="87"/>
      <c r="T231" s="110"/>
    </row>
    <row r="232" spans="1:20" ht="18.75" x14ac:dyDescent="0.3">
      <c r="A232" s="441"/>
      <c r="B232" s="201">
        <v>299</v>
      </c>
      <c r="C232" s="161">
        <v>5</v>
      </c>
      <c r="D232" s="201" t="s">
        <v>49</v>
      </c>
      <c r="E232" s="202">
        <v>1</v>
      </c>
      <c r="F232" s="203">
        <f>VLOOKUP(D232,'[1]טיפוסי דירה'!$B$1:$E$51,2,FALSE)</f>
        <v>4</v>
      </c>
      <c r="G232" s="147">
        <v>104</v>
      </c>
      <c r="H232" s="148">
        <f>VLOOKUP(D232,'[1]טיפוסי דירה'!$B$1:$E$51,4,FALSE)</f>
        <v>19.91</v>
      </c>
      <c r="I232" s="149">
        <v>5.9729999999999999</v>
      </c>
      <c r="J232" s="233">
        <v>7.06</v>
      </c>
      <c r="K232" s="151">
        <v>2</v>
      </c>
      <c r="L232" s="152">
        <f>(G232+I232+(J232*0.4)+(K232*2))*$O$4</f>
        <v>792584.44199999992</v>
      </c>
      <c r="M232" s="153"/>
      <c r="N232" s="162" t="s">
        <v>30</v>
      </c>
      <c r="O232" s="163">
        <v>5</v>
      </c>
      <c r="P232" s="86"/>
      <c r="Q232" s="87"/>
      <c r="T232" s="110"/>
    </row>
    <row r="233" spans="1:20" ht="15" customHeight="1" x14ac:dyDescent="0.3">
      <c r="A233" s="441"/>
      <c r="B233" s="201">
        <v>299</v>
      </c>
      <c r="C233" s="161">
        <v>6</v>
      </c>
      <c r="D233" s="201" t="s">
        <v>50</v>
      </c>
      <c r="E233" s="202">
        <v>1</v>
      </c>
      <c r="F233" s="203">
        <f>VLOOKUP(D233,'[1]טיפוסי דירה'!$B$1:$E$51,2,FALSE)</f>
        <v>4</v>
      </c>
      <c r="G233" s="147">
        <v>104.07</v>
      </c>
      <c r="H233" s="148">
        <f>VLOOKUP(D233,'[1]טיפוסי דירה'!$B$1:$E$51,4,FALSE)</f>
        <v>19.91</v>
      </c>
      <c r="I233" s="149">
        <v>5.9729999999999999</v>
      </c>
      <c r="J233" s="233">
        <v>11.58</v>
      </c>
      <c r="K233" s="151">
        <v>1</v>
      </c>
      <c r="L233" s="152">
        <f>(G233+I233+(J233*0.4)+(K233*2))*$O$4</f>
        <v>791756.54999999993</v>
      </c>
      <c r="M233" s="153"/>
      <c r="N233" s="162" t="s">
        <v>30</v>
      </c>
      <c r="O233" s="163">
        <v>6</v>
      </c>
      <c r="P233" s="86"/>
      <c r="Q233" s="87"/>
      <c r="T233" s="110"/>
    </row>
    <row r="234" spans="1:20" ht="15" customHeight="1" x14ac:dyDescent="0.3">
      <c r="A234" s="441"/>
      <c r="B234" s="201">
        <v>299</v>
      </c>
      <c r="C234" s="161">
        <v>7</v>
      </c>
      <c r="D234" s="201" t="s">
        <v>51</v>
      </c>
      <c r="E234" s="202">
        <v>1</v>
      </c>
      <c r="F234" s="203">
        <f>VLOOKUP(D234,'[1]טיפוסי דירה'!$B$1:$E$51,2,FALSE)</f>
        <v>3</v>
      </c>
      <c r="G234" s="147">
        <v>79.73</v>
      </c>
      <c r="H234" s="148">
        <v>14.05</v>
      </c>
      <c r="I234" s="149">
        <v>4.2149999999999999</v>
      </c>
      <c r="J234" s="233">
        <v>7.1</v>
      </c>
      <c r="K234" s="151">
        <v>1</v>
      </c>
      <c r="L234" s="152">
        <f>(G234+I234+(J234*0.4)+(K234*2))*$O$4</f>
        <v>602495.01000000013</v>
      </c>
      <c r="M234" s="153"/>
      <c r="N234" s="162" t="s">
        <v>30</v>
      </c>
      <c r="O234" s="163">
        <v>7</v>
      </c>
      <c r="P234" s="86"/>
      <c r="Q234" s="86"/>
      <c r="T234" s="110"/>
    </row>
    <row r="235" spans="1:20" ht="15" customHeight="1" x14ac:dyDescent="0.3">
      <c r="A235" s="441"/>
      <c r="B235" s="201">
        <v>299</v>
      </c>
      <c r="C235" s="161">
        <v>8</v>
      </c>
      <c r="D235" s="201" t="s">
        <v>48</v>
      </c>
      <c r="E235" s="202">
        <v>2</v>
      </c>
      <c r="F235" s="203">
        <f>VLOOKUP(D235,'[1]טיפוסי דירה'!$B$1:$E$51,2,FALSE)</f>
        <v>5</v>
      </c>
      <c r="G235" s="147">
        <v>125.66</v>
      </c>
      <c r="H235" s="148">
        <f>VLOOKUP(D235,'[1]טיפוסי דירה'!$B$1:$E$51,4,FALSE)</f>
        <v>22.25</v>
      </c>
      <c r="I235" s="149">
        <v>6.6749999999999998</v>
      </c>
      <c r="J235" s="233">
        <v>6.8</v>
      </c>
      <c r="K235" s="151">
        <v>2</v>
      </c>
      <c r="L235" s="152">
        <f>(G235+I235+(J235*0.4)+(K235*2))*$O$4-((G235-125)*0.15*$O$4)</f>
        <v>942955.41600000008</v>
      </c>
      <c r="M235" s="153"/>
      <c r="N235" s="162" t="s">
        <v>30</v>
      </c>
      <c r="O235" s="163">
        <v>8</v>
      </c>
      <c r="P235" s="86"/>
      <c r="Q235" s="87"/>
      <c r="T235" s="110"/>
    </row>
    <row r="236" spans="1:20" ht="15" customHeight="1" x14ac:dyDescent="0.3">
      <c r="A236" s="441"/>
      <c r="B236" s="201">
        <v>299</v>
      </c>
      <c r="C236" s="161">
        <v>9</v>
      </c>
      <c r="D236" s="201" t="s">
        <v>49</v>
      </c>
      <c r="E236" s="202">
        <v>2</v>
      </c>
      <c r="F236" s="203">
        <f>VLOOKUP(D236,'[1]טיפוסי דירה'!$B$1:$E$51,2,FALSE)</f>
        <v>4</v>
      </c>
      <c r="G236" s="147">
        <v>104</v>
      </c>
      <c r="H236" s="148">
        <f>VLOOKUP(D236,'[1]טיפוסי דירה'!$B$1:$E$51,4,FALSE)</f>
        <v>19.91</v>
      </c>
      <c r="I236" s="149">
        <v>5.9729999999999999</v>
      </c>
      <c r="J236" s="233">
        <v>6.95</v>
      </c>
      <c r="K236" s="151">
        <v>1</v>
      </c>
      <c r="L236" s="152">
        <f>(G236+I236+(J236*0.4)+(K236*2))*$O$4</f>
        <v>778713.85800000001</v>
      </c>
      <c r="M236" s="153"/>
      <c r="N236" s="162" t="s">
        <v>30</v>
      </c>
      <c r="O236" s="163">
        <v>9</v>
      </c>
      <c r="P236" s="86"/>
      <c r="Q236" s="87"/>
      <c r="T236" s="110"/>
    </row>
    <row r="237" spans="1:20" ht="15" customHeight="1" x14ac:dyDescent="0.3">
      <c r="A237" s="441"/>
      <c r="B237" s="201">
        <v>299</v>
      </c>
      <c r="C237" s="161">
        <v>10</v>
      </c>
      <c r="D237" s="201" t="s">
        <v>50</v>
      </c>
      <c r="E237" s="202">
        <v>2</v>
      </c>
      <c r="F237" s="203">
        <f>VLOOKUP(D237,'[1]טיפוסי דירה'!$B$1:$E$51,2,FALSE)</f>
        <v>4</v>
      </c>
      <c r="G237" s="147">
        <v>104.07</v>
      </c>
      <c r="H237" s="148">
        <f>VLOOKUP(D237,'[1]טיפוסי דירה'!$B$1:$E$51,4,FALSE)</f>
        <v>19.91</v>
      </c>
      <c r="I237" s="149">
        <v>5.9729999999999999</v>
      </c>
      <c r="J237" s="233">
        <v>8.77</v>
      </c>
      <c r="K237" s="151">
        <v>1</v>
      </c>
      <c r="L237" s="152">
        <f>(G237+I237+(J237*0.4)+(K237*2))*$O$4</f>
        <v>784129.08599999989</v>
      </c>
      <c r="M237" s="153"/>
      <c r="N237" s="162" t="s">
        <v>30</v>
      </c>
      <c r="O237" s="163">
        <v>10</v>
      </c>
      <c r="P237" s="86"/>
      <c r="Q237" s="87"/>
      <c r="T237" s="110"/>
    </row>
    <row r="238" spans="1:20" ht="15" customHeight="1" x14ac:dyDescent="0.3">
      <c r="A238" s="441"/>
      <c r="B238" s="201">
        <v>299</v>
      </c>
      <c r="C238" s="161">
        <v>11</v>
      </c>
      <c r="D238" s="201" t="s">
        <v>51</v>
      </c>
      <c r="E238" s="202">
        <v>2</v>
      </c>
      <c r="F238" s="203">
        <f>VLOOKUP(D238,'[1]טיפוסי דירה'!$B$1:$E$51,2,FALSE)</f>
        <v>3</v>
      </c>
      <c r="G238" s="147">
        <v>79.73</v>
      </c>
      <c r="H238" s="148">
        <v>14.05</v>
      </c>
      <c r="I238" s="149">
        <v>4.2149999999999999</v>
      </c>
      <c r="J238" s="233">
        <v>6.01</v>
      </c>
      <c r="K238" s="151">
        <v>1</v>
      </c>
      <c r="L238" s="152">
        <f>(G238+I238+(J238*0.4)+(K238*2))*$O$4</f>
        <v>599536.31400000001</v>
      </c>
      <c r="M238" s="153"/>
      <c r="N238" s="162" t="s">
        <v>30</v>
      </c>
      <c r="O238" s="163">
        <v>11</v>
      </c>
      <c r="P238" s="86"/>
      <c r="Q238" s="86"/>
      <c r="T238" s="110"/>
    </row>
    <row r="239" spans="1:20" ht="18.75" x14ac:dyDescent="0.3">
      <c r="A239" s="441"/>
      <c r="B239" s="201">
        <v>299</v>
      </c>
      <c r="C239" s="161">
        <v>12</v>
      </c>
      <c r="D239" s="201" t="s">
        <v>48</v>
      </c>
      <c r="E239" s="202">
        <v>3</v>
      </c>
      <c r="F239" s="203">
        <f>VLOOKUP(D239,'[1]טיפוסי דירה'!$B$1:$E$51,2,FALSE)</f>
        <v>5</v>
      </c>
      <c r="G239" s="147">
        <v>125.66</v>
      </c>
      <c r="H239" s="148">
        <f>VLOOKUP(D239,'[1]טיפוסי דירה'!$B$1:$E$51,4,FALSE)</f>
        <v>22.25</v>
      </c>
      <c r="I239" s="149">
        <v>6.6749999999999998</v>
      </c>
      <c r="J239" s="233">
        <v>5.85</v>
      </c>
      <c r="K239" s="151">
        <v>2</v>
      </c>
      <c r="L239" s="152">
        <f>(G239+I239+(J239*0.4)+(K239*2))*$O$4-((G239-125)*0.15*$O$4)</f>
        <v>940376.73600000003</v>
      </c>
      <c r="M239" s="153"/>
      <c r="N239" s="162" t="s">
        <v>30</v>
      </c>
      <c r="O239" s="163">
        <v>12</v>
      </c>
      <c r="P239" s="86"/>
      <c r="Q239" s="87"/>
      <c r="T239" s="110"/>
    </row>
    <row r="240" spans="1:20" ht="15" customHeight="1" x14ac:dyDescent="0.3">
      <c r="A240" s="441"/>
      <c r="B240" s="201">
        <v>299</v>
      </c>
      <c r="C240" s="161">
        <v>13</v>
      </c>
      <c r="D240" s="201" t="s">
        <v>49</v>
      </c>
      <c r="E240" s="202">
        <v>3</v>
      </c>
      <c r="F240" s="203">
        <f>VLOOKUP(D240,'[1]טיפוסי דירה'!$B$1:$E$51,2,FALSE)</f>
        <v>4</v>
      </c>
      <c r="G240" s="147">
        <v>104</v>
      </c>
      <c r="H240" s="148">
        <f>VLOOKUP(D240,'[1]טיפוסי דירה'!$B$1:$E$51,4,FALSE)</f>
        <v>19.91</v>
      </c>
      <c r="I240" s="149">
        <v>5.9729999999999999</v>
      </c>
      <c r="J240" s="233">
        <v>6.01</v>
      </c>
      <c r="K240" s="151">
        <v>1</v>
      </c>
      <c r="L240" s="152">
        <f>(G240+I240+(J240*0.4)+(K240*2))*$O$4</f>
        <v>776162.32199999993</v>
      </c>
      <c r="M240" s="153"/>
      <c r="N240" s="162" t="s">
        <v>30</v>
      </c>
      <c r="O240" s="163">
        <v>13</v>
      </c>
      <c r="P240" s="86"/>
      <c r="Q240" s="87"/>
      <c r="T240" s="110"/>
    </row>
    <row r="241" spans="1:20" ht="18.75" x14ac:dyDescent="0.3">
      <c r="A241" s="441"/>
      <c r="B241" s="201">
        <v>299</v>
      </c>
      <c r="C241" s="161">
        <v>14</v>
      </c>
      <c r="D241" s="201" t="s">
        <v>50</v>
      </c>
      <c r="E241" s="202">
        <v>3</v>
      </c>
      <c r="F241" s="203">
        <f>VLOOKUP(D241,'[1]טיפוסי דירה'!$B$1:$E$51,2,FALSE)</f>
        <v>4</v>
      </c>
      <c r="G241" s="147">
        <v>104.07</v>
      </c>
      <c r="H241" s="148">
        <f>VLOOKUP(D241,'[1]טיפוסי דירה'!$B$1:$E$51,4,FALSE)</f>
        <v>19.91</v>
      </c>
      <c r="I241" s="149">
        <v>5.9729999999999999</v>
      </c>
      <c r="J241" s="233">
        <v>10.44</v>
      </c>
      <c r="K241" s="151">
        <v>2</v>
      </c>
      <c r="L241" s="152">
        <f>(G241+I241+(J241*0.4)+(K241*2))*$O$4</f>
        <v>802234.13399999996</v>
      </c>
      <c r="M241" s="153"/>
      <c r="N241" s="162" t="s">
        <v>30</v>
      </c>
      <c r="O241" s="163">
        <v>14</v>
      </c>
      <c r="P241" s="86"/>
      <c r="Q241" s="87"/>
      <c r="T241" s="110"/>
    </row>
    <row r="242" spans="1:20" ht="18.75" x14ac:dyDescent="0.3">
      <c r="A242" s="441"/>
      <c r="B242" s="201">
        <v>299</v>
      </c>
      <c r="C242" s="161">
        <v>15</v>
      </c>
      <c r="D242" s="201" t="s">
        <v>51</v>
      </c>
      <c r="E242" s="202">
        <v>3</v>
      </c>
      <c r="F242" s="203">
        <f>VLOOKUP(D242,'[1]טיפוסי דירה'!$B$1:$E$51,2,FALSE)</f>
        <v>3</v>
      </c>
      <c r="G242" s="147">
        <v>79.73</v>
      </c>
      <c r="H242" s="148">
        <v>14.05</v>
      </c>
      <c r="I242" s="149">
        <v>4.2149999999999999</v>
      </c>
      <c r="J242" s="233">
        <v>6.35</v>
      </c>
      <c r="K242" s="151">
        <v>1</v>
      </c>
      <c r="L242" s="152">
        <f>(G242+I242+(J242*0.4)+(K242*2))*$O$4</f>
        <v>600459.21000000008</v>
      </c>
      <c r="M242" s="153"/>
      <c r="N242" s="162" t="s">
        <v>30</v>
      </c>
      <c r="O242" s="163">
        <v>15</v>
      </c>
      <c r="P242" s="86"/>
      <c r="Q242" s="86"/>
      <c r="T242" s="110"/>
    </row>
    <row r="243" spans="1:20" ht="15" customHeight="1" x14ac:dyDescent="0.3">
      <c r="A243" s="441"/>
      <c r="B243" s="201">
        <v>299</v>
      </c>
      <c r="C243" s="161">
        <v>16</v>
      </c>
      <c r="D243" s="201" t="s">
        <v>48</v>
      </c>
      <c r="E243" s="202">
        <v>4</v>
      </c>
      <c r="F243" s="203">
        <f>VLOOKUP(D243,'[1]טיפוסי דירה'!$B$1:$E$51,2,FALSE)</f>
        <v>5</v>
      </c>
      <c r="G243" s="147">
        <v>125.66</v>
      </c>
      <c r="H243" s="148">
        <f>VLOOKUP(D243,'[1]טיפוסי דירה'!$B$1:$E$51,4,FALSE)</f>
        <v>22.25</v>
      </c>
      <c r="I243" s="149">
        <v>6.6749999999999998</v>
      </c>
      <c r="J243" s="233">
        <v>5.15</v>
      </c>
      <c r="K243" s="151">
        <v>2</v>
      </c>
      <c r="L243" s="152">
        <f>(G243+I243+(J243*0.4)+(K243*2))*$O$4-((G243-125)*0.15*$O$4)</f>
        <v>938476.65600000008</v>
      </c>
      <c r="M243" s="153"/>
      <c r="N243" s="162" t="s">
        <v>30</v>
      </c>
      <c r="O243" s="163">
        <v>16</v>
      </c>
      <c r="P243" s="86"/>
      <c r="Q243" s="87"/>
      <c r="T243" s="110"/>
    </row>
    <row r="244" spans="1:20" customFormat="1" ht="15" customHeight="1" x14ac:dyDescent="0.3">
      <c r="A244" s="441"/>
      <c r="B244" s="136">
        <v>299</v>
      </c>
      <c r="C244" s="137">
        <v>17</v>
      </c>
      <c r="D244" s="136" t="s">
        <v>49</v>
      </c>
      <c r="E244" s="137">
        <v>4</v>
      </c>
      <c r="F244" s="200">
        <f>VLOOKUP(D244,'[1]טיפוסי דירה'!$B$1:$E$51,2,FALSE)</f>
        <v>4</v>
      </c>
      <c r="G244" s="138">
        <f>VLOOKUP(D244,'[1]טיפוסי דירה'!$B$1:$E$51,3,FALSE)</f>
        <v>104.15</v>
      </c>
      <c r="H244" s="139">
        <f>VLOOKUP(D244,'[1]טיפוסי דירה'!$B$1:$E$51,4,FALSE)</f>
        <v>19.91</v>
      </c>
      <c r="I244" s="140">
        <v>5.9729999999999999</v>
      </c>
      <c r="J244" s="230">
        <v>6.95</v>
      </c>
      <c r="K244" s="136">
        <v>1</v>
      </c>
      <c r="L244" s="142"/>
      <c r="M244" s="143"/>
      <c r="N244" s="160" t="s">
        <v>32</v>
      </c>
      <c r="O244" s="144">
        <v>17</v>
      </c>
      <c r="Q244" s="2"/>
    </row>
    <row r="245" spans="1:20" customFormat="1" ht="15" customHeight="1" x14ac:dyDescent="0.3">
      <c r="A245" s="441"/>
      <c r="B245" s="136">
        <v>299</v>
      </c>
      <c r="C245" s="137">
        <v>18</v>
      </c>
      <c r="D245" s="136" t="s">
        <v>50</v>
      </c>
      <c r="E245" s="137">
        <v>4</v>
      </c>
      <c r="F245" s="200">
        <f>VLOOKUP(D245,'[1]טיפוסי דירה'!$B$1:$E$51,2,FALSE)</f>
        <v>4</v>
      </c>
      <c r="G245" s="138">
        <f>VLOOKUP(D245,'[1]טיפוסי דירה'!$B$1:$E$51,3,FALSE)</f>
        <v>104.21</v>
      </c>
      <c r="H245" s="139">
        <f>VLOOKUP(D245,'[1]טיפוסי דירה'!$B$1:$E$51,4,FALSE)</f>
        <v>19.91</v>
      </c>
      <c r="I245" s="140">
        <v>5.9729999999999999</v>
      </c>
      <c r="J245" s="230">
        <v>6.87</v>
      </c>
      <c r="K245" s="136">
        <v>1</v>
      </c>
      <c r="L245" s="142"/>
      <c r="M245" s="143"/>
      <c r="N245" s="160" t="s">
        <v>32</v>
      </c>
      <c r="O245" s="144">
        <v>18</v>
      </c>
      <c r="Q245" s="2"/>
    </row>
    <row r="246" spans="1:20" customFormat="1" ht="15" customHeight="1" x14ac:dyDescent="0.3">
      <c r="A246" s="441"/>
      <c r="B246" s="136">
        <v>299</v>
      </c>
      <c r="C246" s="137">
        <v>19</v>
      </c>
      <c r="D246" s="136" t="s">
        <v>51</v>
      </c>
      <c r="E246" s="137">
        <v>4</v>
      </c>
      <c r="F246" s="200">
        <f>VLOOKUP(D246,'[1]טיפוסי דירה'!$B$1:$E$51,2,FALSE)</f>
        <v>3</v>
      </c>
      <c r="G246" s="138">
        <f>VLOOKUP(D246,'[1]טיפוסי דירה'!$B$1:$E$51,3,FALSE)</f>
        <v>79.7</v>
      </c>
      <c r="H246" s="139">
        <f>VLOOKUP(D246,'[1]טיפוסי דירה'!$B$1:$E$51,4,FALSE)</f>
        <v>14.06</v>
      </c>
      <c r="I246" s="140">
        <v>4.218</v>
      </c>
      <c r="J246" s="230">
        <v>4.66</v>
      </c>
      <c r="K246" s="136">
        <v>1</v>
      </c>
      <c r="L246" s="142"/>
      <c r="M246" s="143"/>
      <c r="N246" s="160" t="s">
        <v>32</v>
      </c>
      <c r="O246" s="144">
        <v>19</v>
      </c>
      <c r="Q246" s="2"/>
    </row>
    <row r="247" spans="1:20" ht="15" customHeight="1" x14ac:dyDescent="0.3">
      <c r="A247" s="441"/>
      <c r="B247" s="201">
        <v>299</v>
      </c>
      <c r="C247" s="161">
        <v>20</v>
      </c>
      <c r="D247" s="201" t="s">
        <v>48</v>
      </c>
      <c r="E247" s="202">
        <v>5</v>
      </c>
      <c r="F247" s="203">
        <f>VLOOKUP(D247,'[1]טיפוסי דירה'!$B$1:$E$51,2,FALSE)</f>
        <v>5</v>
      </c>
      <c r="G247" s="147">
        <v>125.66</v>
      </c>
      <c r="H247" s="148">
        <f>VLOOKUP(D247,'[1]טיפוסי דירה'!$B$1:$E$51,4,FALSE)</f>
        <v>22.25</v>
      </c>
      <c r="I247" s="149">
        <v>6.6749999999999998</v>
      </c>
      <c r="J247" s="233">
        <v>9.18</v>
      </c>
      <c r="K247" s="151">
        <v>2</v>
      </c>
      <c r="L247" s="152">
        <f>(G247+I247+(J247*0.4)+(K247*2))*$O$4-((G247-125)*0.15*$O$4)</f>
        <v>949415.68799999997</v>
      </c>
      <c r="M247" s="153"/>
      <c r="N247" s="162" t="s">
        <v>30</v>
      </c>
      <c r="O247" s="163">
        <v>29</v>
      </c>
      <c r="P247" s="86"/>
      <c r="Q247" s="87"/>
      <c r="T247" s="110"/>
    </row>
    <row r="248" spans="1:20" customFormat="1" ht="15" customHeight="1" x14ac:dyDescent="0.3">
      <c r="A248" s="441"/>
      <c r="B248" s="136">
        <v>299</v>
      </c>
      <c r="C248" s="137">
        <v>21</v>
      </c>
      <c r="D248" s="136" t="s">
        <v>49</v>
      </c>
      <c r="E248" s="137">
        <v>5</v>
      </c>
      <c r="F248" s="200">
        <f>VLOOKUP(D248,'[1]טיפוסי דירה'!$B$1:$E$51,2,FALSE)</f>
        <v>4</v>
      </c>
      <c r="G248" s="138">
        <f>VLOOKUP(D248,'[1]טיפוסי דירה'!$B$1:$E$51,3,FALSE)</f>
        <v>104.15</v>
      </c>
      <c r="H248" s="139">
        <f>VLOOKUP(D248,'[1]טיפוסי דירה'!$B$1:$E$51,4,FALSE)</f>
        <v>19.91</v>
      </c>
      <c r="I248" s="140">
        <v>5.9729999999999999</v>
      </c>
      <c r="J248" s="230">
        <v>7.53</v>
      </c>
      <c r="K248" s="136">
        <v>1</v>
      </c>
      <c r="L248" s="142"/>
      <c r="M248" s="143"/>
      <c r="N248" s="160" t="s">
        <v>32</v>
      </c>
      <c r="O248" s="144">
        <v>21</v>
      </c>
      <c r="Q248" s="2"/>
    </row>
    <row r="249" spans="1:20" customFormat="1" ht="15" customHeight="1" x14ac:dyDescent="0.3">
      <c r="A249" s="441"/>
      <c r="B249" s="136">
        <v>299</v>
      </c>
      <c r="C249" s="137">
        <v>22</v>
      </c>
      <c r="D249" s="136" t="s">
        <v>50</v>
      </c>
      <c r="E249" s="137">
        <v>5</v>
      </c>
      <c r="F249" s="136">
        <f>VLOOKUP(D249,'[1]טיפוסי דירה'!$B$1:$E$51,2,FALSE)</f>
        <v>4</v>
      </c>
      <c r="G249" s="137">
        <f>VLOOKUP(D249,'[1]טיפוסי דירה'!$B$1:$E$51,3,FALSE)</f>
        <v>104.21</v>
      </c>
      <c r="H249" s="136">
        <f>VLOOKUP(D249,'[1]טיפוסי דירה'!$B$1:$E$51,4,FALSE)</f>
        <v>19.91</v>
      </c>
      <c r="I249" s="207">
        <v>5.9729999999999999</v>
      </c>
      <c r="J249" s="141">
        <v>11.33</v>
      </c>
      <c r="K249" s="136">
        <v>2</v>
      </c>
      <c r="L249" s="137"/>
      <c r="M249" s="136"/>
      <c r="N249" s="160" t="s">
        <v>32</v>
      </c>
      <c r="O249" s="144">
        <v>22</v>
      </c>
    </row>
    <row r="250" spans="1:20" ht="18.75" x14ac:dyDescent="0.3">
      <c r="A250" s="441"/>
      <c r="B250" s="201">
        <v>299</v>
      </c>
      <c r="C250" s="161">
        <v>23</v>
      </c>
      <c r="D250" s="201" t="s">
        <v>51</v>
      </c>
      <c r="E250" s="202">
        <v>5</v>
      </c>
      <c r="F250" s="203">
        <f>VLOOKUP(D250,'[1]טיפוסי דירה'!$B$1:$E$51,2,FALSE)</f>
        <v>3</v>
      </c>
      <c r="G250" s="147">
        <v>79.73</v>
      </c>
      <c r="H250" s="148">
        <v>14.05</v>
      </c>
      <c r="I250" s="149">
        <v>4.2149999999999999</v>
      </c>
      <c r="J250" s="233">
        <v>7</v>
      </c>
      <c r="K250" s="151">
        <v>1</v>
      </c>
      <c r="L250" s="152">
        <f>(G250+I250+(J250*0.4)+(K250*2))*$O$4</f>
        <v>602223.57000000007</v>
      </c>
      <c r="M250" s="153"/>
      <c r="N250" s="162" t="s">
        <v>30</v>
      </c>
      <c r="O250" s="163">
        <v>23</v>
      </c>
      <c r="P250" s="86"/>
      <c r="Q250" s="86"/>
      <c r="T250" s="110"/>
    </row>
    <row r="251" spans="1:20" ht="15" customHeight="1" x14ac:dyDescent="0.3">
      <c r="A251" s="441"/>
      <c r="B251" s="201">
        <v>299</v>
      </c>
      <c r="C251" s="161">
        <v>24</v>
      </c>
      <c r="D251" s="201" t="s">
        <v>48</v>
      </c>
      <c r="E251" s="202">
        <v>6</v>
      </c>
      <c r="F251" s="203">
        <f>VLOOKUP(D251,'[1]טיפוסי דירה'!$B$1:$E$51,2,FALSE)</f>
        <v>5</v>
      </c>
      <c r="G251" s="147">
        <v>125.66</v>
      </c>
      <c r="H251" s="148">
        <f>VLOOKUP(D251,'[1]טיפוסי דירה'!$B$1:$E$51,4,FALSE)</f>
        <v>22.25</v>
      </c>
      <c r="I251" s="149">
        <v>6.6749999999999998</v>
      </c>
      <c r="J251" s="233">
        <v>11.67</v>
      </c>
      <c r="K251" s="151">
        <v>2</v>
      </c>
      <c r="L251" s="152">
        <f>(G251+I251+(J251*0.4)+(K251*2))*$O$4-((G251-125)*0.15*$O$4)</f>
        <v>956174.54400000011</v>
      </c>
      <c r="M251" s="153"/>
      <c r="N251" s="162" t="s">
        <v>30</v>
      </c>
      <c r="O251" s="163">
        <v>24</v>
      </c>
      <c r="P251" s="86"/>
      <c r="Q251" s="87"/>
      <c r="T251" s="110"/>
    </row>
    <row r="252" spans="1:20" customFormat="1" ht="15" customHeight="1" x14ac:dyDescent="0.3">
      <c r="A252" s="441"/>
      <c r="B252" s="136">
        <v>299</v>
      </c>
      <c r="C252" s="137">
        <v>25</v>
      </c>
      <c r="D252" s="136" t="s">
        <v>49</v>
      </c>
      <c r="E252" s="137">
        <v>6</v>
      </c>
      <c r="F252" s="200">
        <f>VLOOKUP(D252,'[1]טיפוסי דירה'!$B$1:$E$51,2,FALSE)</f>
        <v>4</v>
      </c>
      <c r="G252" s="138">
        <f>VLOOKUP(D252,'[1]טיפוסי דירה'!$B$1:$E$51,3,FALSE)</f>
        <v>104.15</v>
      </c>
      <c r="H252" s="139">
        <f>VLOOKUP(D252,'[1]טיפוסי דירה'!$B$1:$E$51,4,FALSE)</f>
        <v>19.91</v>
      </c>
      <c r="I252" s="140">
        <v>5.9729999999999999</v>
      </c>
      <c r="J252" s="230">
        <v>7.35</v>
      </c>
      <c r="K252" s="136">
        <v>1</v>
      </c>
      <c r="L252" s="142"/>
      <c r="M252" s="143"/>
      <c r="N252" s="160" t="s">
        <v>32</v>
      </c>
      <c r="O252" s="144">
        <v>25</v>
      </c>
      <c r="Q252" s="2"/>
    </row>
    <row r="253" spans="1:20" customFormat="1" ht="15" customHeight="1" x14ac:dyDescent="0.3">
      <c r="A253" s="441"/>
      <c r="B253" s="136">
        <v>299</v>
      </c>
      <c r="C253" s="137">
        <v>26</v>
      </c>
      <c r="D253" s="136" t="s">
        <v>50</v>
      </c>
      <c r="E253" s="137">
        <v>6</v>
      </c>
      <c r="F253" s="200">
        <f>VLOOKUP(D253,'[1]טיפוסי דירה'!$B$1:$E$51,2,FALSE)</f>
        <v>4</v>
      </c>
      <c r="G253" s="138">
        <f>VLOOKUP(D253,'[1]טיפוסי דירה'!$B$1:$E$51,3,FALSE)</f>
        <v>104.21</v>
      </c>
      <c r="H253" s="139">
        <f>VLOOKUP(D253,'[1]טיפוסי דירה'!$B$1:$E$51,4,FALSE)</f>
        <v>19.91</v>
      </c>
      <c r="I253" s="140">
        <v>5.9729999999999999</v>
      </c>
      <c r="J253" s="230">
        <v>7.2</v>
      </c>
      <c r="K253" s="136">
        <v>2</v>
      </c>
      <c r="L253" s="142"/>
      <c r="M253" s="143"/>
      <c r="N253" s="160" t="s">
        <v>32</v>
      </c>
      <c r="O253" s="144">
        <v>26</v>
      </c>
      <c r="Q253" s="2"/>
    </row>
    <row r="254" spans="1:20" customFormat="1" ht="15" customHeight="1" x14ac:dyDescent="0.3">
      <c r="A254" s="441"/>
      <c r="B254" s="136">
        <v>299</v>
      </c>
      <c r="C254" s="137">
        <v>27</v>
      </c>
      <c r="D254" s="136" t="s">
        <v>51</v>
      </c>
      <c r="E254" s="137">
        <v>6</v>
      </c>
      <c r="F254" s="200">
        <f>VLOOKUP(D254,'[1]טיפוסי דירה'!$B$1:$E$51,2,FALSE)</f>
        <v>3</v>
      </c>
      <c r="G254" s="138">
        <f>VLOOKUP(D254,'[1]טיפוסי דירה'!$B$1:$E$51,3,FALSE)</f>
        <v>79.7</v>
      </c>
      <c r="H254" s="139">
        <f>VLOOKUP(D254,'[1]טיפוסי דירה'!$B$1:$E$51,4,FALSE)</f>
        <v>14.06</v>
      </c>
      <c r="I254" s="140">
        <v>4.218</v>
      </c>
      <c r="J254" s="230">
        <v>7.2</v>
      </c>
      <c r="K254" s="136">
        <v>1</v>
      </c>
      <c r="L254" s="142"/>
      <c r="M254" s="143"/>
      <c r="N254" s="160" t="s">
        <v>32</v>
      </c>
      <c r="O254" s="144">
        <v>27</v>
      </c>
      <c r="Q254" s="2"/>
    </row>
    <row r="255" spans="1:20" customFormat="1" ht="15" customHeight="1" x14ac:dyDescent="0.3">
      <c r="A255" s="441"/>
      <c r="B255" s="136">
        <v>299</v>
      </c>
      <c r="C255" s="137">
        <v>28</v>
      </c>
      <c r="D255" s="136" t="s">
        <v>52</v>
      </c>
      <c r="E255" s="137">
        <v>7</v>
      </c>
      <c r="F255" s="200">
        <f>VLOOKUP(D255,'[1]טיפוסי דירה'!$B$1:$E$51,2,FALSE)</f>
        <v>6</v>
      </c>
      <c r="G255" s="138">
        <f>VLOOKUP(D255,'[1]טיפוסי דירה'!$B$1:$E$51,3,FALSE)</f>
        <v>168.49</v>
      </c>
      <c r="H255" s="139">
        <f>VLOOKUP(D255,'[1]טיפוסי דירה'!$B$1:$E$51,4,FALSE)</f>
        <v>78.25</v>
      </c>
      <c r="I255" s="140">
        <v>16.824999999999999</v>
      </c>
      <c r="J255" s="230">
        <v>7.39</v>
      </c>
      <c r="K255" s="136">
        <v>2</v>
      </c>
      <c r="L255" s="142"/>
      <c r="M255" s="143"/>
      <c r="N255" s="160" t="s">
        <v>32</v>
      </c>
      <c r="O255" s="144">
        <v>28</v>
      </c>
      <c r="Q255" s="2"/>
    </row>
    <row r="256" spans="1:20" customFormat="1" ht="15" customHeight="1" x14ac:dyDescent="0.3">
      <c r="A256" s="441"/>
      <c r="B256" s="136">
        <v>299</v>
      </c>
      <c r="C256" s="137">
        <v>29</v>
      </c>
      <c r="D256" s="136" t="s">
        <v>52</v>
      </c>
      <c r="E256" s="137">
        <v>7</v>
      </c>
      <c r="F256" s="200">
        <f>VLOOKUP(D256,'[1]טיפוסי דירה'!$B$1:$E$51,2,FALSE)</f>
        <v>6</v>
      </c>
      <c r="G256" s="138">
        <f>VLOOKUP(D256,'[1]טיפוסי דירה'!$B$1:$E$51,3,FALSE)</f>
        <v>168.49</v>
      </c>
      <c r="H256" s="139">
        <f>VLOOKUP(D256,'[1]טיפוסי דירה'!$B$1:$E$51,4,FALSE)</f>
        <v>78.25</v>
      </c>
      <c r="I256" s="140">
        <v>16.824999999999999</v>
      </c>
      <c r="J256" s="230">
        <v>5.13</v>
      </c>
      <c r="K256" s="136">
        <v>2</v>
      </c>
      <c r="L256" s="142"/>
      <c r="M256" s="143"/>
      <c r="N256" s="160" t="s">
        <v>32</v>
      </c>
      <c r="O256" s="144">
        <v>20</v>
      </c>
      <c r="Q256" s="2"/>
    </row>
    <row r="257" spans="1:17" customFormat="1" ht="15" customHeight="1" x14ac:dyDescent="0.3">
      <c r="A257" s="441"/>
      <c r="B257" s="136">
        <v>299</v>
      </c>
      <c r="C257" s="137">
        <v>30</v>
      </c>
      <c r="D257" s="136" t="s">
        <v>53</v>
      </c>
      <c r="E257" s="137">
        <v>8</v>
      </c>
      <c r="F257" s="200">
        <f>VLOOKUP(D257,'[1]טיפוסי דירה'!$B$1:$E$51,2,FALSE)</f>
        <v>5</v>
      </c>
      <c r="G257" s="138">
        <f>VLOOKUP(D257,'[1]טיפוסי דירה'!$B$1:$E$51,3,FALSE)</f>
        <v>147.15</v>
      </c>
      <c r="H257" s="139">
        <f>VLOOKUP(D257,'[1]טיפוסי דירה'!$B$1:$E$51,4,FALSE)</f>
        <v>43.27</v>
      </c>
      <c r="I257" s="140">
        <v>11.654</v>
      </c>
      <c r="J257" s="230">
        <v>14.33</v>
      </c>
      <c r="K257" s="136">
        <v>2</v>
      </c>
      <c r="L257" s="142"/>
      <c r="M257" s="206"/>
      <c r="N257" s="160" t="s">
        <v>32</v>
      </c>
      <c r="O257" s="144">
        <v>30</v>
      </c>
      <c r="Q257" s="2"/>
    </row>
    <row r="258" spans="1:17" customFormat="1" ht="15.75" customHeight="1" thickBot="1" x14ac:dyDescent="0.35">
      <c r="A258" s="450"/>
      <c r="B258" s="210">
        <v>299</v>
      </c>
      <c r="C258" s="245">
        <v>31</v>
      </c>
      <c r="D258" s="244" t="s">
        <v>53</v>
      </c>
      <c r="E258" s="245">
        <v>8</v>
      </c>
      <c r="F258" s="246">
        <f>VLOOKUP(D258,'[1]טיפוסי דירה'!$B$1:$E$51,2,FALSE)</f>
        <v>5</v>
      </c>
      <c r="G258" s="247">
        <f>VLOOKUP(D258,'[1]טיפוסי דירה'!$B$1:$E$51,3,FALSE)</f>
        <v>147.15</v>
      </c>
      <c r="H258" s="248">
        <f>VLOOKUP(D258,'[1]טיפוסי דירה'!$B$1:$E$51,4,FALSE)</f>
        <v>43.27</v>
      </c>
      <c r="I258" s="249">
        <v>11.654</v>
      </c>
      <c r="J258" s="250">
        <v>12.33</v>
      </c>
      <c r="K258" s="244">
        <v>2</v>
      </c>
      <c r="L258" s="252"/>
      <c r="M258" s="237"/>
      <c r="N258" s="254" t="s">
        <v>32</v>
      </c>
      <c r="O258" s="251">
        <v>31</v>
      </c>
      <c r="Q258" s="2"/>
    </row>
    <row r="259" spans="1:17" customFormat="1" ht="15.75" customHeight="1" thickBot="1" x14ac:dyDescent="0.35">
      <c r="A259" s="218" t="s">
        <v>40</v>
      </c>
      <c r="B259" s="239"/>
      <c r="C259" s="239"/>
      <c r="D259" s="226"/>
      <c r="E259" s="239"/>
      <c r="F259" s="226"/>
      <c r="G259" s="288">
        <f>SUMIF(N228:N258,"כן",G228:G258)/COUNTIF(N228:N258,"כן")</f>
        <v>106.06812500000001</v>
      </c>
      <c r="H259" s="227"/>
      <c r="I259" s="186" t="s">
        <v>41</v>
      </c>
      <c r="J259" s="186"/>
      <c r="K259" s="187"/>
      <c r="L259" s="186"/>
      <c r="M259" s="186"/>
      <c r="N259" s="291">
        <f>COUNTIF(N228:N258,"כן")/COUNT(C228:C258)</f>
        <v>0.5161290322580645</v>
      </c>
      <c r="O259" s="228"/>
      <c r="Q259" s="1"/>
    </row>
    <row r="260" spans="1:17" customFormat="1" ht="15.75" customHeight="1" x14ac:dyDescent="0.2">
      <c r="A260" s="48"/>
      <c r="B260" s="48"/>
      <c r="C260" s="48"/>
      <c r="D260" s="48"/>
      <c r="E260" s="48"/>
      <c r="F260" s="48"/>
      <c r="G260" s="113"/>
      <c r="H260" s="5"/>
      <c r="I260" s="114"/>
      <c r="J260" s="114"/>
      <c r="K260" s="114"/>
      <c r="L260" s="114"/>
      <c r="M260" s="114"/>
      <c r="N260" s="6"/>
      <c r="O260" s="115"/>
      <c r="Q260" s="1"/>
    </row>
    <row r="261" spans="1:17" customFormat="1" ht="15.75" customHeight="1" x14ac:dyDescent="0.2">
      <c r="A261" s="48"/>
      <c r="B261" s="48"/>
      <c r="C261" s="48"/>
      <c r="D261" s="48"/>
      <c r="E261" s="48"/>
      <c r="F261" s="48"/>
      <c r="G261" s="113"/>
      <c r="H261" s="5"/>
      <c r="I261" s="114"/>
      <c r="J261" s="114"/>
      <c r="K261" s="114"/>
      <c r="L261" s="114"/>
      <c r="M261" s="114"/>
      <c r="N261" s="6"/>
      <c r="O261" s="115"/>
      <c r="Q261" s="1"/>
    </row>
    <row r="262" spans="1:17" customFormat="1" ht="15.75" customHeight="1" x14ac:dyDescent="0.2">
      <c r="A262" s="48"/>
      <c r="B262" s="48"/>
      <c r="C262" s="48"/>
      <c r="D262" s="48"/>
      <c r="E262" s="48"/>
      <c r="F262" s="48"/>
      <c r="G262" s="113"/>
      <c r="H262" s="5"/>
      <c r="I262" s="114"/>
      <c r="J262" s="114"/>
      <c r="K262" s="114"/>
      <c r="L262" s="114"/>
      <c r="M262" s="114"/>
      <c r="N262" s="6"/>
      <c r="O262" s="115"/>
      <c r="Q262" s="1"/>
    </row>
    <row r="263" spans="1:17" ht="14.25" x14ac:dyDescent="0.2">
      <c r="A263" s="89"/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117"/>
      <c r="M263" s="89"/>
      <c r="N263" s="89"/>
      <c r="O263" s="89"/>
      <c r="P263" s="90"/>
      <c r="Q263" s="52"/>
    </row>
    <row r="264" spans="1:17" ht="14.25" x14ac:dyDescent="0.2">
      <c r="A264" s="91" t="s">
        <v>54</v>
      </c>
      <c r="B264" s="92"/>
      <c r="C264" s="92"/>
      <c r="D264" s="92"/>
      <c r="E264" s="92"/>
      <c r="F264" s="93"/>
      <c r="G264" s="94">
        <f>SUMIF(N11:N259,"כן",G11:G259)</f>
        <v>13176.969999999981</v>
      </c>
      <c r="H264" s="95"/>
      <c r="I264" s="95"/>
      <c r="J264" s="96" t="s">
        <v>55</v>
      </c>
      <c r="K264" s="97"/>
      <c r="L264" s="118"/>
      <c r="M264" s="98"/>
      <c r="N264" s="94">
        <f>COUNTIF(N11:N259,"כן")</f>
        <v>121</v>
      </c>
      <c r="O264" s="99"/>
      <c r="P264" s="90"/>
      <c r="Q264" s="52"/>
    </row>
    <row r="265" spans="1:17" ht="14.25" x14ac:dyDescent="0.2">
      <c r="A265" s="91" t="s">
        <v>56</v>
      </c>
      <c r="B265" s="92"/>
      <c r="C265" s="92"/>
      <c r="D265" s="92"/>
      <c r="E265" s="92"/>
      <c r="F265" s="93"/>
      <c r="G265" s="100">
        <f>SUMIF(N11:N258,"כן",G11:G258)/(SUMIF(N11:N258,"כן",G11:G258)+SUMIF(N11:N258,"לא",G11:G258))</f>
        <v>0.49384685727991956</v>
      </c>
      <c r="H265" s="95"/>
      <c r="I265" s="95"/>
      <c r="J265" s="96" t="s">
        <v>57</v>
      </c>
      <c r="K265" s="97"/>
      <c r="L265" s="118"/>
      <c r="M265" s="98"/>
      <c r="N265" s="101">
        <f>COUNTIF(N11:N258,"כן")/COUNT(C11:C258)</f>
        <v>0.50416666666666665</v>
      </c>
      <c r="O265" s="99"/>
      <c r="P265" s="90"/>
      <c r="Q265" s="52"/>
    </row>
    <row r="266" spans="1:17" x14ac:dyDescent="0.25">
      <c r="P266" s="52"/>
      <c r="Q266" s="52"/>
    </row>
    <row r="267" spans="1:17" x14ac:dyDescent="0.2">
      <c r="A267" s="102" t="s">
        <v>58</v>
      </c>
      <c r="B267" s="102"/>
      <c r="C267" s="102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  <c r="N267" s="102"/>
      <c r="O267" s="102"/>
      <c r="P267" s="52"/>
      <c r="Q267" s="52"/>
    </row>
    <row r="268" spans="1:17" ht="15.75" customHeight="1" x14ac:dyDescent="0.2">
      <c r="A268" s="103" t="s">
        <v>59</v>
      </c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4"/>
      <c r="M268" s="103"/>
      <c r="N268" s="103"/>
      <c r="O268" s="103"/>
      <c r="P268" s="103"/>
      <c r="Q268" s="103"/>
    </row>
    <row r="269" spans="1:17" ht="15.75" customHeight="1" x14ac:dyDescent="0.2">
      <c r="A269" s="104" t="s">
        <v>60</v>
      </c>
      <c r="B269" s="104"/>
      <c r="C269" s="104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4"/>
      <c r="O269" s="104"/>
      <c r="P269" s="104"/>
      <c r="Q269" s="104"/>
    </row>
    <row r="270" spans="1:17" ht="15.75" x14ac:dyDescent="0.2">
      <c r="A270" s="104"/>
      <c r="B270" s="104"/>
      <c r="C270" s="104"/>
      <c r="D270" s="104"/>
      <c r="E270" s="104"/>
      <c r="F270" s="104"/>
      <c r="G270" s="104"/>
      <c r="H270" s="104"/>
      <c r="I270" s="104"/>
      <c r="J270" s="104"/>
      <c r="K270" s="104"/>
      <c r="L270" s="104"/>
      <c r="M270" s="104"/>
      <c r="N270" s="104"/>
      <c r="O270" s="104"/>
      <c r="P270" s="104"/>
      <c r="Q270" s="104"/>
    </row>
    <row r="271" spans="1:17" ht="15" customHeight="1" x14ac:dyDescent="0.25">
      <c r="A271" s="105" t="s">
        <v>61</v>
      </c>
      <c r="B271" s="105"/>
      <c r="C271" s="105"/>
      <c r="D271" s="105"/>
      <c r="E271" s="105"/>
      <c r="F271" s="105"/>
      <c r="G271" s="105"/>
      <c r="H271" s="105"/>
      <c r="I271" s="105"/>
      <c r="J271" s="105"/>
      <c r="K271" s="105"/>
      <c r="L271" s="105"/>
      <c r="M271" s="105"/>
      <c r="N271" s="105"/>
      <c r="O271" s="105"/>
      <c r="P271" s="52"/>
      <c r="Q271" s="52"/>
    </row>
    <row r="272" spans="1:17" ht="15" customHeight="1" x14ac:dyDescent="0.25">
      <c r="A272" s="105"/>
      <c r="B272" s="105"/>
      <c r="C272" s="105"/>
      <c r="D272" s="105"/>
      <c r="E272" s="105"/>
      <c r="F272" s="105"/>
      <c r="G272" s="105"/>
      <c r="H272" s="105"/>
      <c r="I272" s="105"/>
      <c r="J272" s="105"/>
      <c r="K272" s="105"/>
      <c r="L272" s="105"/>
      <c r="M272" s="105"/>
      <c r="N272" s="105"/>
      <c r="O272" s="105"/>
      <c r="P272" s="52"/>
      <c r="Q272" s="52"/>
    </row>
    <row r="273" spans="1:17" ht="15" customHeight="1" x14ac:dyDescent="0.25">
      <c r="A273" s="105"/>
      <c r="B273" s="105"/>
      <c r="C273" s="105"/>
      <c r="D273" s="105"/>
      <c r="E273" s="105"/>
      <c r="F273" s="105"/>
      <c r="G273" s="105"/>
      <c r="H273" s="105"/>
      <c r="I273" s="105"/>
      <c r="J273" s="105"/>
      <c r="K273" s="105"/>
      <c r="L273" s="105"/>
      <c r="M273" s="105"/>
      <c r="N273" s="105"/>
      <c r="O273" s="105"/>
      <c r="P273" s="52"/>
      <c r="Q273" s="52"/>
    </row>
    <row r="274" spans="1:17" x14ac:dyDescent="0.25">
      <c r="P274" s="52"/>
      <c r="Q274" s="52"/>
    </row>
  </sheetData>
  <sheetProtection sort="0" autoFilter="0"/>
  <autoFilter ref="A10:O259" xr:uid="{00000000-0009-0000-0000-000001000000}"/>
  <mergeCells count="13">
    <mergeCell ref="A196:A213"/>
    <mergeCell ref="A214:A226"/>
    <mergeCell ref="A228:A258"/>
    <mergeCell ref="A100:A130"/>
    <mergeCell ref="A164:A194"/>
    <mergeCell ref="A132:A140"/>
    <mergeCell ref="A141:A162"/>
    <mergeCell ref="A68:A98"/>
    <mergeCell ref="G3:H3"/>
    <mergeCell ref="K2:N2"/>
    <mergeCell ref="A11:A28"/>
    <mergeCell ref="A30:A47"/>
    <mergeCell ref="A49:A66"/>
  </mergeCells>
  <conditionalFormatting sqref="N3 O4:O9 O263:O267 O274">
    <cfRule type="containsText" dxfId="13" priority="13" operator="containsText" text="גדול">
      <formula>NOT(ISERROR(SEARCH("גדול",N3)))</formula>
    </cfRule>
    <cfRule type="containsText" dxfId="12" priority="14" operator="containsText" text="קטן מהמינימום הנדרש במכרז">
      <formula>NOT(ISERROR(SEARCH("קטן מהמינימום הנדרש במכרז",N3)))</formula>
    </cfRule>
  </conditionalFormatting>
  <conditionalFormatting sqref="O49:O56 O58:O66">
    <cfRule type="containsText" dxfId="11" priority="1" operator="containsText" text="מזרח">
      <formula>NOT(ISERROR(SEARCH("מזרח",O49)))</formula>
    </cfRule>
    <cfRule type="containsText" dxfId="10" priority="2" operator="containsText" text="מערב">
      <formula>NOT(ISERROR(SEARCH("מערב",O49)))</formula>
    </cfRule>
    <cfRule type="containsText" dxfId="9" priority="3" operator="containsText" text="צפון">
      <formula>NOT(ISERROR(SEARCH("צפון",O49)))</formula>
    </cfRule>
    <cfRule type="containsText" dxfId="8" priority="4" operator="containsText" text="דרום">
      <formula>NOT(ISERROR(SEARCH("דרום",O49)))</formula>
    </cfRule>
  </conditionalFormatting>
  <conditionalFormatting sqref="Q30:Q31 O30:O41 Q36 Q40:Q43 B42:O42 R42:U42 O43:O47 Q45:Q47 Q49:Q50 Q56:Q62 R57:T57 Q64:Q66">
    <cfRule type="containsText" dxfId="7" priority="9" operator="containsText" text="מזרח">
      <formula>NOT(ISERROR(SEARCH("מזרח",B30)))</formula>
    </cfRule>
    <cfRule type="containsText" dxfId="6" priority="10" operator="containsText" text="מערב">
      <formula>NOT(ISERROR(SEARCH("מערב",B30)))</formula>
    </cfRule>
    <cfRule type="containsText" dxfId="5" priority="11" operator="containsText" text="צפון">
      <formula>NOT(ISERROR(SEARCH("צפון",B30)))</formula>
    </cfRule>
    <cfRule type="containsText" dxfId="4" priority="12" operator="containsText" text="דרום">
      <formula>NOT(ISERROR(SEARCH("דרום",B30)))</formula>
    </cfRule>
  </conditionalFormatting>
  <pageMargins left="0.31496062992125984" right="0.31496062992125984" top="0.35433070866141736" bottom="0.51181102362204722" header="0.31496062992125984" footer="0.31496062992125984"/>
  <pageSetup paperSize="9" scale="67" fitToHeight="4" orientation="portrait" r:id="rId1"/>
  <rowBreaks count="4" manualBreakCount="4">
    <brk id="48" max="16383" man="1"/>
    <brk id="99" max="16383" man="1"/>
    <brk id="163" max="16383" man="1"/>
    <brk id="22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L29"/>
  <sheetViews>
    <sheetView rightToLeft="1" topLeftCell="A4" workbookViewId="0">
      <selection activeCell="I29" sqref="I29"/>
    </sheetView>
  </sheetViews>
  <sheetFormatPr defaultRowHeight="14.25" x14ac:dyDescent="0.2"/>
  <cols>
    <col min="2" max="2" width="8.375" customWidth="1"/>
    <col min="11" max="11" width="7.75" customWidth="1"/>
    <col min="12" max="12" width="20.375" customWidth="1"/>
  </cols>
  <sheetData>
    <row r="7" spans="2:12" ht="18" x14ac:dyDescent="0.25">
      <c r="D7" s="463" t="s">
        <v>62</v>
      </c>
      <c r="E7" s="463"/>
      <c r="H7" s="461" t="str">
        <f>_xlfn.CONCAT("מתחם"," ",'[2]מחיר למשתכן'!D7)</f>
        <v xml:space="preserve">מתחם </v>
      </c>
      <c r="I7" s="462"/>
      <c r="J7" s="462"/>
    </row>
    <row r="9" spans="2:12" ht="15" thickBot="1" x14ac:dyDescent="0.25"/>
    <row r="10" spans="2:12" ht="16.5" thickBot="1" x14ac:dyDescent="0.25">
      <c r="B10" s="9" t="s">
        <v>63</v>
      </c>
    </row>
    <row r="11" spans="2:12" ht="60.75" thickBot="1" x14ac:dyDescent="0.25">
      <c r="B11" s="10" t="s">
        <v>64</v>
      </c>
      <c r="C11" s="10" t="s">
        <v>65</v>
      </c>
      <c r="D11" s="10" t="s">
        <v>66</v>
      </c>
      <c r="E11" s="11" t="s">
        <v>66</v>
      </c>
      <c r="F11" s="10" t="s">
        <v>67</v>
      </c>
      <c r="G11" s="10" t="s">
        <v>68</v>
      </c>
      <c r="H11" s="11" t="s">
        <v>69</v>
      </c>
      <c r="I11" s="10" t="s">
        <v>70</v>
      </c>
      <c r="J11" s="11" t="s">
        <v>71</v>
      </c>
      <c r="K11" s="10" t="s">
        <v>72</v>
      </c>
      <c r="L11" s="12" t="s">
        <v>73</v>
      </c>
    </row>
    <row r="12" spans="2:12" ht="20.100000000000001" customHeight="1" x14ac:dyDescent="0.2">
      <c r="B12" s="19">
        <v>294</v>
      </c>
      <c r="C12" s="20">
        <f t="shared" ref="C12:C17" ca="1" si="0">G12/$E$15</f>
        <v>0.9375</v>
      </c>
      <c r="D12" s="21">
        <f t="shared" ref="D12:D17" ca="1" si="1">$E$15*0.75</f>
        <v>0.38709677419354838</v>
      </c>
      <c r="E12" s="21">
        <f t="shared" ref="E12:E17" ca="1" si="2">$E$15*0.75</f>
        <v>0.38709677419354838</v>
      </c>
      <c r="F12" s="21">
        <f t="shared" ref="F12:F17" ca="1" si="3">$E$15*1.25</f>
        <v>0.64516129032258063</v>
      </c>
      <c r="G12" s="21">
        <f>J12/K12</f>
        <v>0.45161290322580644</v>
      </c>
      <c r="H12" s="21">
        <f>I12/K12</f>
        <v>0.54838709677419351</v>
      </c>
      <c r="I12" s="22">
        <v>17</v>
      </c>
      <c r="J12" s="23">
        <v>14</v>
      </c>
      <c r="K12" s="19">
        <f>I12+J12</f>
        <v>31</v>
      </c>
      <c r="L12" s="13" t="str">
        <f t="shared" ref="L12:L17" ca="1" si="4">IF(G12/$E$15&gt;1.25,"יחס דירות גדול מהמותר במכרז",IF(G12/$E$15&lt;0.75,"יחס דירות קטן מהמותר במכרז","יחס דירות תקין"))</f>
        <v>יחס דירות תקין</v>
      </c>
    </row>
    <row r="13" spans="2:12" ht="20.100000000000001" customHeight="1" x14ac:dyDescent="0.2">
      <c r="B13" s="24">
        <v>295</v>
      </c>
      <c r="C13" s="25">
        <f t="shared" ca="1" si="0"/>
        <v>0.875</v>
      </c>
      <c r="D13" s="26">
        <f t="shared" ca="1" si="1"/>
        <v>0.38709677419354838</v>
      </c>
      <c r="E13" s="26">
        <f t="shared" ca="1" si="2"/>
        <v>0.38709677419354838</v>
      </c>
      <c r="F13" s="26">
        <f t="shared" ca="1" si="3"/>
        <v>0.64516129032258063</v>
      </c>
      <c r="G13" s="27">
        <f t="shared" ref="G13:G17" si="5">J13/K13</f>
        <v>0.45161290322580644</v>
      </c>
      <c r="H13" s="26">
        <f t="shared" ref="H13:H17" si="6">I13/K13</f>
        <v>0.54838709677419351</v>
      </c>
      <c r="I13" s="28">
        <v>17</v>
      </c>
      <c r="J13" s="29">
        <v>14</v>
      </c>
      <c r="K13" s="24">
        <f t="shared" ref="K13:K17" si="7">I13+J13</f>
        <v>31</v>
      </c>
      <c r="L13" s="14" t="str">
        <f t="shared" ca="1" si="4"/>
        <v>יחס דירות תקין</v>
      </c>
    </row>
    <row r="14" spans="2:12" ht="20.100000000000001" customHeight="1" x14ac:dyDescent="0.2">
      <c r="B14" s="24">
        <v>296</v>
      </c>
      <c r="C14" s="25">
        <f t="shared" ca="1" si="0"/>
        <v>0.875</v>
      </c>
      <c r="D14" s="26">
        <f t="shared" ca="1" si="1"/>
        <v>0.38709677419354838</v>
      </c>
      <c r="E14" s="26">
        <f t="shared" ca="1" si="2"/>
        <v>0.38709677419354838</v>
      </c>
      <c r="F14" s="26">
        <f t="shared" ca="1" si="3"/>
        <v>0.64516129032258063</v>
      </c>
      <c r="G14" s="26">
        <f t="shared" si="5"/>
        <v>0.41935483870967744</v>
      </c>
      <c r="H14" s="26">
        <f t="shared" si="6"/>
        <v>0.58064516129032262</v>
      </c>
      <c r="I14" s="28">
        <v>18</v>
      </c>
      <c r="J14" s="29">
        <v>13</v>
      </c>
      <c r="K14" s="24">
        <f t="shared" si="7"/>
        <v>31</v>
      </c>
      <c r="L14" s="14" t="str">
        <f t="shared" ca="1" si="4"/>
        <v>יחס דירות תקין</v>
      </c>
    </row>
    <row r="15" spans="2:12" ht="20.100000000000001" customHeight="1" x14ac:dyDescent="0.2">
      <c r="B15" s="24">
        <v>297</v>
      </c>
      <c r="C15" s="25">
        <f t="shared" ca="1" si="0"/>
        <v>1.125</v>
      </c>
      <c r="D15" s="26">
        <f t="shared" ca="1" si="1"/>
        <v>0.38709677419354838</v>
      </c>
      <c r="E15" s="26">
        <f t="shared" ca="1" si="2"/>
        <v>0.38709677419354838</v>
      </c>
      <c r="F15" s="26">
        <f t="shared" ca="1" si="3"/>
        <v>0.64516129032258063</v>
      </c>
      <c r="G15" s="26">
        <f t="shared" si="5"/>
        <v>0.61290322580645162</v>
      </c>
      <c r="H15" s="26">
        <f t="shared" si="6"/>
        <v>0.38709677419354838</v>
      </c>
      <c r="I15" s="28">
        <v>12</v>
      </c>
      <c r="J15" s="29">
        <v>19</v>
      </c>
      <c r="K15" s="24">
        <f t="shared" si="7"/>
        <v>31</v>
      </c>
      <c r="L15" s="14" t="str">
        <f t="shared" ca="1" si="4"/>
        <v>יחס דירות תקין</v>
      </c>
    </row>
    <row r="16" spans="2:12" ht="20.100000000000001" customHeight="1" x14ac:dyDescent="0.2">
      <c r="B16" s="24">
        <v>298</v>
      </c>
      <c r="C16" s="25">
        <f t="shared" ca="1" si="0"/>
        <v>1.125</v>
      </c>
      <c r="D16" s="26">
        <f t="shared" ca="1" si="1"/>
        <v>0.38709677419354838</v>
      </c>
      <c r="E16" s="26">
        <f t="shared" ca="1" si="2"/>
        <v>0.38709677419354838</v>
      </c>
      <c r="F16" s="26">
        <f t="shared" ca="1" si="3"/>
        <v>0.64516129032258063</v>
      </c>
      <c r="G16" s="26">
        <f t="shared" si="5"/>
        <v>0.58064516129032262</v>
      </c>
      <c r="H16" s="26">
        <f t="shared" si="6"/>
        <v>0.41935483870967744</v>
      </c>
      <c r="I16" s="28">
        <v>13</v>
      </c>
      <c r="J16" s="29">
        <v>18</v>
      </c>
      <c r="K16" s="24">
        <f t="shared" si="7"/>
        <v>31</v>
      </c>
      <c r="L16" s="14" t="str">
        <f t="shared" ca="1" si="4"/>
        <v>יחס דירות תקין</v>
      </c>
    </row>
    <row r="17" spans="2:12" ht="20.100000000000001" customHeight="1" thickBot="1" x14ac:dyDescent="0.25">
      <c r="B17" s="30">
        <v>299</v>
      </c>
      <c r="C17" s="31">
        <f t="shared" ca="1" si="0"/>
        <v>1.0625</v>
      </c>
      <c r="D17" s="32">
        <f t="shared" ca="1" si="1"/>
        <v>0.38709677419354838</v>
      </c>
      <c r="E17" s="32">
        <f t="shared" ca="1" si="2"/>
        <v>0.38709677419354838</v>
      </c>
      <c r="F17" s="32">
        <f t="shared" ca="1" si="3"/>
        <v>0.64516129032258063</v>
      </c>
      <c r="G17" s="32">
        <f t="shared" si="5"/>
        <v>0.4838709677419355</v>
      </c>
      <c r="H17" s="32">
        <f t="shared" si="6"/>
        <v>0.5161290322580645</v>
      </c>
      <c r="I17" s="33">
        <v>16</v>
      </c>
      <c r="J17" s="34">
        <v>15</v>
      </c>
      <c r="K17" s="30">
        <f t="shared" si="7"/>
        <v>31</v>
      </c>
      <c r="L17" s="15" t="str">
        <f t="shared" ca="1" si="4"/>
        <v>יחס דירות תקין</v>
      </c>
    </row>
    <row r="18" spans="2:12" ht="18.75" thickBot="1" x14ac:dyDescent="0.3">
      <c r="B18" s="455" t="s">
        <v>74</v>
      </c>
      <c r="C18" s="456"/>
      <c r="D18" s="456"/>
      <c r="E18" s="457"/>
      <c r="F18" s="16">
        <f>J18/K18</f>
        <v>0.5</v>
      </c>
      <c r="H18" s="17" t="s">
        <v>2</v>
      </c>
      <c r="I18" s="17">
        <f>SUM(I12:I17)</f>
        <v>93</v>
      </c>
      <c r="J18" s="18">
        <f>SUM(J12:J17)</f>
        <v>93</v>
      </c>
      <c r="K18" s="17">
        <f>SUM(K12:K17)</f>
        <v>186</v>
      </c>
    </row>
    <row r="23" spans="2:12" ht="15" thickBot="1" x14ac:dyDescent="0.25"/>
    <row r="24" spans="2:12" ht="16.5" thickBot="1" x14ac:dyDescent="0.25">
      <c r="B24" s="9" t="s">
        <v>75</v>
      </c>
    </row>
    <row r="25" spans="2:12" ht="60.75" thickBot="1" x14ac:dyDescent="0.25">
      <c r="B25" s="10" t="s">
        <v>64</v>
      </c>
      <c r="C25" s="10" t="s">
        <v>65</v>
      </c>
      <c r="D25" s="10" t="s">
        <v>66</v>
      </c>
      <c r="E25" s="11" t="s">
        <v>66</v>
      </c>
      <c r="F25" s="10" t="s">
        <v>67</v>
      </c>
      <c r="G25" s="10" t="s">
        <v>68</v>
      </c>
      <c r="H25" s="11" t="s">
        <v>69</v>
      </c>
      <c r="I25" s="10" t="s">
        <v>70</v>
      </c>
      <c r="J25" s="11" t="s">
        <v>71</v>
      </c>
      <c r="K25" s="36" t="s">
        <v>72</v>
      </c>
      <c r="L25" s="12" t="s">
        <v>73</v>
      </c>
    </row>
    <row r="26" spans="2:12" ht="20.100000000000001" customHeight="1" x14ac:dyDescent="0.2">
      <c r="B26" s="40">
        <v>134</v>
      </c>
      <c r="C26" s="41">
        <f ca="1">G26/$E$15</f>
        <v>0.96875</v>
      </c>
      <c r="D26" s="21">
        <f t="shared" ref="D26:D28" ca="1" si="8">$E$15*0.75</f>
        <v>0.38709677419354838</v>
      </c>
      <c r="E26" s="21">
        <f ca="1">$E$15*0.75</f>
        <v>0.38709677419354838</v>
      </c>
      <c r="F26" s="21">
        <f ca="1">$E$15*1.25</f>
        <v>0.64516129032258063</v>
      </c>
      <c r="G26" s="21">
        <f>J26/K26</f>
        <v>0.33333333333333331</v>
      </c>
      <c r="H26" s="21">
        <f>I26/K26</f>
        <v>0.66666666666666663</v>
      </c>
      <c r="I26" s="42">
        <v>12</v>
      </c>
      <c r="J26" s="23">
        <v>6</v>
      </c>
      <c r="K26" s="43">
        <f>I26+J26</f>
        <v>18</v>
      </c>
      <c r="L26" s="44" t="str">
        <f t="shared" ref="L26:L27" ca="1" si="9">IF(G26/$E$15&gt;1.25,"יחס דירות גדול מהמותר במכרז",IF(G26/$E$15&lt;0.75,"יחס דירות קטן מהמותר במכרז","יחס דירות תקין"))</f>
        <v>יחס דירות תקין</v>
      </c>
    </row>
    <row r="27" spans="2:12" ht="20.100000000000001" customHeight="1" x14ac:dyDescent="0.2">
      <c r="B27" s="24">
        <v>135</v>
      </c>
      <c r="C27" s="25">
        <f ca="1">G27/$E$15</f>
        <v>0.96875</v>
      </c>
      <c r="D27" s="26">
        <f t="shared" ca="1" si="8"/>
        <v>0.38709677419354838</v>
      </c>
      <c r="E27" s="26">
        <f ca="1">$E$15*0.75</f>
        <v>0.38709677419354838</v>
      </c>
      <c r="F27" s="26">
        <f ca="1">$E$15*1.25</f>
        <v>0.64516129032258063</v>
      </c>
      <c r="G27" s="27">
        <f t="shared" ref="G27:G28" si="10">J27/K27</f>
        <v>0.5</v>
      </c>
      <c r="H27" s="26">
        <f t="shared" ref="H27:H28" si="11">I27/K27</f>
        <v>0.5</v>
      </c>
      <c r="I27" s="28">
        <v>9</v>
      </c>
      <c r="J27" s="29">
        <v>9</v>
      </c>
      <c r="K27" s="35">
        <f t="shared" ref="K27:K28" si="12">I27+J27</f>
        <v>18</v>
      </c>
      <c r="L27" s="14" t="str">
        <f t="shared" ca="1" si="9"/>
        <v>יחס דירות תקין</v>
      </c>
    </row>
    <row r="28" spans="2:12" ht="20.100000000000001" customHeight="1" thickBot="1" x14ac:dyDescent="0.25">
      <c r="B28" s="30">
        <v>136</v>
      </c>
      <c r="C28" s="31">
        <f ca="1">G28/$E$15</f>
        <v>0.96875</v>
      </c>
      <c r="D28" s="46">
        <f t="shared" ca="1" si="8"/>
        <v>0.38709677419354838</v>
      </c>
      <c r="E28" s="32">
        <f ca="1">$E$15*0.75</f>
        <v>0.38709677419354838</v>
      </c>
      <c r="F28" s="32">
        <f ca="1">$E$15*1.25</f>
        <v>0.64516129032258063</v>
      </c>
      <c r="G28" s="32">
        <f t="shared" si="10"/>
        <v>0.61111111111111116</v>
      </c>
      <c r="H28" s="32">
        <f t="shared" si="11"/>
        <v>0.3888888888888889</v>
      </c>
      <c r="I28" s="33">
        <v>7</v>
      </c>
      <c r="J28" s="34">
        <v>11</v>
      </c>
      <c r="K28" s="45">
        <f t="shared" si="12"/>
        <v>18</v>
      </c>
      <c r="L28" s="15" t="str">
        <f ca="1">IF(G28/$E$15&gt;1.25,"יחס דירות גדול מהמותר במכרז",IF(G28/$E$15&lt;0.75,"יחס דירות קטן מהמותר במכרז","יחס דירות תקין"))</f>
        <v>יחס דירות תקין</v>
      </c>
    </row>
    <row r="29" spans="2:12" ht="18.75" thickBot="1" x14ac:dyDescent="0.3">
      <c r="B29" s="458" t="s">
        <v>74</v>
      </c>
      <c r="C29" s="459"/>
      <c r="D29" s="459"/>
      <c r="E29" s="460"/>
      <c r="F29" s="37">
        <f>J29/K29</f>
        <v>0.48148148148148145</v>
      </c>
      <c r="H29" s="38" t="s">
        <v>2</v>
      </c>
      <c r="I29" s="38">
        <f>SUM(I26:I28)</f>
        <v>28</v>
      </c>
      <c r="J29" s="39">
        <f>SUM(J26:J28)</f>
        <v>26</v>
      </c>
      <c r="K29" s="38">
        <f>SUM(K26:K28)</f>
        <v>54</v>
      </c>
    </row>
  </sheetData>
  <mergeCells count="4">
    <mergeCell ref="B18:E18"/>
    <mergeCell ref="B29:E29"/>
    <mergeCell ref="H7:J7"/>
    <mergeCell ref="D7:E7"/>
  </mergeCells>
  <conditionalFormatting sqref="C12:C17">
    <cfRule type="cellIs" dxfId="3" priority="3" operator="lessThan">
      <formula>0.75</formula>
    </cfRule>
    <cfRule type="cellIs" dxfId="2" priority="4" operator="greaterThan">
      <formula>1.25</formula>
    </cfRule>
  </conditionalFormatting>
  <conditionalFormatting sqref="C26:C28">
    <cfRule type="cellIs" dxfId="1" priority="1" operator="lessThan">
      <formula>0.75</formula>
    </cfRule>
    <cfRule type="cellIs" dxfId="0" priority="2" operator="greaterThan">
      <formula>1.25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2</vt:i4>
      </vt:variant>
    </vt:vector>
  </HeadingPairs>
  <TitlesOfParts>
    <vt:vector size="5" baseType="lpstr">
      <vt:lpstr>מחירון רק משתכן ליום בחירה</vt:lpstr>
      <vt:lpstr>ג4 עכו</vt:lpstr>
      <vt:lpstr>ריכוז</vt:lpstr>
      <vt:lpstr>'ג4 עכו'!WPrint_Area_W</vt:lpstr>
      <vt:lpstr>'מחירון רק משתכן ליום בחירה'!WPrint_Area_W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ahron</dc:creator>
  <cp:keywords/>
  <dc:description/>
  <cp:lastModifiedBy>Gili Benita</cp:lastModifiedBy>
  <cp:revision/>
  <cp:lastPrinted>2024-08-28T14:15:36Z</cp:lastPrinted>
  <dcterms:created xsi:type="dcterms:W3CDTF">2024-01-29T12:20:48Z</dcterms:created>
  <dcterms:modified xsi:type="dcterms:W3CDTF">2024-08-28T14:18:13Z</dcterms:modified>
  <cp:category/>
  <cp:contentStatus/>
</cp:coreProperties>
</file>